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fileSharing readOnlyRecommended="1"/>
  <workbookPr filterPrivacy="1" updateLinks="always"/>
  <xr:revisionPtr revIDLastSave="0" documentId="13_ncr:1_{2597F65D-B3E5-49BF-AA43-D6DE1465A400}" xr6:coauthVersionLast="47" xr6:coauthVersionMax="47" xr10:uidLastSave="{00000000-0000-0000-0000-000000000000}"/>
  <workbookProtection lockStructure="1"/>
  <bookViews>
    <workbookView xWindow="-110" yWindow="-110" windowWidth="19420" windowHeight="10420" tabRatio="958" xr2:uid="{00000000-000D-0000-FFFF-FFFF00000000}"/>
  </bookViews>
  <sheets>
    <sheet name="INTRODUCTION" sheetId="1" r:id="rId1"/>
    <sheet name="GW-1" sheetId="4" r:id="rId2"/>
    <sheet name="GW-1 Exp" sheetId="17" r:id="rId3"/>
    <sheet name="GW-1 Derm" sheetId="22" r:id="rId4"/>
    <sheet name="GW-1 Inhale" sheetId="20" r:id="rId5"/>
    <sheet name="GW-1 VC &amp; TCE" sheetId="27" r:id="rId6"/>
    <sheet name="GW-2" sheetId="18" r:id="rId7"/>
    <sheet name="GW-2 Exp" sheetId="23" r:id="rId8"/>
    <sheet name="GW-2 IA Bkgrd" sheetId="24" r:id="rId9"/>
    <sheet name="GW-2 TCE &amp; VC" sheetId="25" r:id="rId10"/>
    <sheet name="GW-3" sheetId="6" r:id="rId11"/>
    <sheet name="GW-3 SW Target" sheetId="19" r:id="rId12"/>
  </sheets>
  <externalReferences>
    <externalReference r:id="rId13"/>
    <externalReference r:id="rId14"/>
  </externalReferences>
  <definedNames>
    <definedName name="_Dist_Values" hidden="1">#REF!</definedName>
    <definedName name="_xlnm._FilterDatabase" localSheetId="1" hidden="1">'GW-1'!$A$6:$S$6</definedName>
    <definedName name="_xlnm._FilterDatabase" localSheetId="3" hidden="1">'GW-1 Derm'!$A$6:$AH$129</definedName>
    <definedName name="_xlnm._FilterDatabase" localSheetId="4" hidden="1">'GW-1 Inhale'!$A$6:$O$130</definedName>
    <definedName name="_xlnm._FilterDatabase" localSheetId="6" hidden="1">'GW-2'!$A$6:$W$129</definedName>
    <definedName name="_xlnm._FilterDatabase" localSheetId="8" hidden="1">'GW-2 IA Bkgrd'!$A$2:$G$2</definedName>
    <definedName name="_xlnm._FilterDatabase" localSheetId="10" hidden="1">'GW-3'!$A$6:$J$129</definedName>
    <definedName name="_Key2" hidden="1">[1]Toxicity!$A$1</definedName>
    <definedName name="_Order2" hidden="1">0</definedName>
    <definedName name="DWDERM">'GW-1 Derm'!$A$1:$T$129</definedName>
    <definedName name="DWInhale">'GW-1 Inhale'!$A$1:$N$129</definedName>
    <definedName name="GWOne">'GW-1'!$A$1:$S$129</definedName>
    <definedName name="GWThree">'GW-3'!$A$1:$J$129</definedName>
    <definedName name="GWTwo">'GW-2'!$A$1:$W$129</definedName>
    <definedName name="IABKGRD">'GW-2 IA Bkgrd'!$A$1:$G$125</definedName>
    <definedName name="_xlnm.Print_Area" localSheetId="1">'GW-1'!$A$1:$S$129</definedName>
    <definedName name="_xlnm.Print_Area" localSheetId="3">'GW-1 Derm'!$A$1:$T$129</definedName>
    <definedName name="_xlnm.Print_Area" localSheetId="2">'GW-1 Exp'!$A$1:$AC$69</definedName>
    <definedName name="_xlnm.Print_Area" localSheetId="4">'GW-1 Inhale'!$A$1:$O$129</definedName>
    <definedName name="_xlnm.Print_Area" localSheetId="5">'GW-1 VC &amp; TCE'!$A$1:$D$48</definedName>
    <definedName name="_xlnm.Print_Area" localSheetId="6">'GW-2'!$A$1:$W$129</definedName>
    <definedName name="_xlnm.Print_Area" localSheetId="7">'GW-2 Exp'!$A$1:$H$34</definedName>
    <definedName name="_xlnm.Print_Area" localSheetId="8">'GW-2 IA Bkgrd'!$A$1:$G$130</definedName>
    <definedName name="_xlnm.Print_Area" localSheetId="9">'GW-2 TCE &amp; VC'!$A$1:$J$22</definedName>
    <definedName name="_xlnm.Print_Area" localSheetId="10">'GW-3'!$B$7:$J$129</definedName>
    <definedName name="_xlnm.Print_Area" localSheetId="11">'GW-3 SW Target'!$A$1:$AL$129</definedName>
    <definedName name="_xlnm.Print_Area" localSheetId="0">INTRODUCTION!$B$1:$F$54</definedName>
    <definedName name="_xlnm.Print_Titles" localSheetId="1">'GW-1'!$A:$A,'GW-1'!$1:$6</definedName>
    <definedName name="_xlnm.Print_Titles" localSheetId="3">'GW-1 Derm'!$A:$A,'GW-1 Derm'!$1:$6</definedName>
    <definedName name="_xlnm.Print_Titles" localSheetId="4">'GW-1 Inhale'!$A:$A,'GW-1 Inhale'!$1:$6</definedName>
    <definedName name="_xlnm.Print_Titles" localSheetId="6">'GW-2'!$A:$A,'GW-2'!$1:$6</definedName>
    <definedName name="_xlnm.Print_Titles" localSheetId="8">'GW-2 IA Bkgrd'!$1:$2</definedName>
    <definedName name="_xlnm.Print_Titles" localSheetId="10">'GW-3'!$A:$A,'GW-3'!$1:$6</definedName>
    <definedName name="_xlnm.Print_Titles" localSheetId="11">'GW-3 SW Target'!$A:$A,'GW-3 SW Target'!$1:$6</definedName>
    <definedName name="SWTarget">'GW-3 SW Target'!$A$1:$AK$129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9" i="17" l="1"/>
  <c r="N28" i="17"/>
  <c r="N27" i="17"/>
  <c r="N26" i="17"/>
  <c r="N20" i="17"/>
  <c r="N19" i="17"/>
  <c r="N18" i="17"/>
  <c r="N13" i="17"/>
  <c r="B66" i="17"/>
  <c r="B65" i="17"/>
  <c r="B64" i="17"/>
  <c r="B63" i="17"/>
  <c r="B55" i="17"/>
  <c r="B54" i="17"/>
  <c r="B53" i="17"/>
  <c r="B48" i="17"/>
  <c r="B36" i="17"/>
  <c r="B35" i="17"/>
  <c r="B34" i="17"/>
  <c r="B33" i="17"/>
  <c r="M29" i="17"/>
  <c r="M28" i="17"/>
  <c r="M27" i="17"/>
  <c r="M26" i="17"/>
  <c r="B25" i="17"/>
  <c r="B24" i="17"/>
  <c r="B23" i="17"/>
  <c r="M20" i="17"/>
  <c r="M19" i="17"/>
  <c r="M18" i="17"/>
  <c r="B18" i="17"/>
  <c r="M13" i="17"/>
  <c r="E129" i="6"/>
  <c r="E128" i="6"/>
  <c r="E127" i="6"/>
  <c r="E126" i="6"/>
  <c r="E125" i="6"/>
  <c r="E124" i="6"/>
  <c r="E123" i="6"/>
  <c r="E122" i="6"/>
  <c r="E121" i="6"/>
  <c r="E120" i="6"/>
  <c r="E119" i="6"/>
  <c r="E118" i="6"/>
  <c r="E117" i="6"/>
  <c r="E116" i="6"/>
  <c r="E115" i="6"/>
  <c r="E114" i="6"/>
  <c r="E113" i="6"/>
  <c r="E112" i="6"/>
  <c r="E111" i="6"/>
  <c r="E110" i="6"/>
  <c r="E109" i="6"/>
  <c r="E108" i="6"/>
  <c r="E107" i="6"/>
  <c r="E106" i="6"/>
  <c r="E104" i="6"/>
  <c r="E102" i="6"/>
  <c r="E101" i="6"/>
  <c r="E100" i="6"/>
  <c r="E99" i="6"/>
  <c r="E98"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H129" i="18"/>
  <c r="H128" i="18"/>
  <c r="H127" i="18"/>
  <c r="H126" i="18"/>
  <c r="H125" i="18"/>
  <c r="H124" i="18"/>
  <c r="H123" i="18"/>
  <c r="H122" i="18"/>
  <c r="H121" i="18"/>
  <c r="H120" i="18"/>
  <c r="H119" i="18"/>
  <c r="H118" i="18"/>
  <c r="H117" i="18"/>
  <c r="H116" i="18"/>
  <c r="H115" i="18"/>
  <c r="H114" i="18"/>
  <c r="H113" i="18"/>
  <c r="H112" i="18"/>
  <c r="H111" i="18"/>
  <c r="H110" i="18"/>
  <c r="H109" i="18"/>
  <c r="H108" i="18"/>
  <c r="H107" i="18"/>
  <c r="H106" i="18"/>
  <c r="H105" i="18"/>
  <c r="H104" i="18"/>
  <c r="H103" i="18"/>
  <c r="H102" i="18"/>
  <c r="H101" i="18"/>
  <c r="H100" i="18"/>
  <c r="H99" i="18"/>
  <c r="H98" i="18"/>
  <c r="K97" i="18"/>
  <c r="H97" i="18"/>
  <c r="K96" i="18"/>
  <c r="H96" i="18"/>
  <c r="K95" i="18"/>
  <c r="H95" i="18"/>
  <c r="K94" i="18"/>
  <c r="H94" i="18"/>
  <c r="K93" i="18"/>
  <c r="H93" i="18"/>
  <c r="K92" i="18"/>
  <c r="K91" i="18"/>
  <c r="H90" i="18"/>
  <c r="H89" i="18"/>
  <c r="H88" i="18"/>
  <c r="H87" i="18"/>
  <c r="H86" i="18"/>
  <c r="H85" i="18"/>
  <c r="H84" i="18"/>
  <c r="H83" i="18"/>
  <c r="H82" i="18"/>
  <c r="H81" i="18"/>
  <c r="H80" i="18"/>
  <c r="H79" i="18"/>
  <c r="H78" i="18"/>
  <c r="H77" i="18"/>
  <c r="H76" i="18"/>
  <c r="H75" i="18"/>
  <c r="H74" i="18"/>
  <c r="H73" i="18"/>
  <c r="H72" i="18"/>
  <c r="H71" i="18"/>
  <c r="H70" i="18"/>
  <c r="H69" i="18"/>
  <c r="H68" i="18"/>
  <c r="H67" i="18"/>
  <c r="H66" i="18"/>
  <c r="H65" i="18"/>
  <c r="H64" i="18"/>
  <c r="H63" i="18"/>
  <c r="H62" i="18"/>
  <c r="H61" i="18"/>
  <c r="H60" i="18"/>
  <c r="H59" i="18"/>
  <c r="H58" i="18"/>
  <c r="H57" i="18"/>
  <c r="H56" i="18"/>
  <c r="H55" i="18"/>
  <c r="H54" i="18"/>
  <c r="H53" i="18"/>
  <c r="H52" i="18"/>
  <c r="H51" i="18"/>
  <c r="H50" i="18"/>
  <c r="H49" i="18"/>
  <c r="H48" i="18"/>
  <c r="H47" i="18"/>
  <c r="H46" i="18"/>
  <c r="H45" i="18"/>
  <c r="H44" i="18"/>
  <c r="H43" i="18"/>
  <c r="H42" i="18"/>
  <c r="H41" i="18"/>
  <c r="H40" i="18"/>
  <c r="H39" i="18"/>
  <c r="H38" i="18"/>
  <c r="H37" i="18"/>
  <c r="H36" i="18"/>
  <c r="H35" i="18"/>
  <c r="H34" i="18"/>
  <c r="H33" i="18"/>
  <c r="H32" i="18"/>
  <c r="H31" i="18"/>
  <c r="H30" i="18"/>
  <c r="H29" i="18"/>
  <c r="H28" i="18"/>
  <c r="H27" i="18"/>
  <c r="H26" i="18"/>
  <c r="H25" i="18"/>
  <c r="H24" i="18"/>
  <c r="H23" i="18"/>
  <c r="H22" i="18"/>
  <c r="H21" i="18"/>
  <c r="H20" i="18"/>
  <c r="H19" i="18"/>
  <c r="H18" i="18"/>
  <c r="H17" i="18"/>
  <c r="H16" i="18"/>
  <c r="H15" i="18"/>
  <c r="H14" i="18"/>
  <c r="H13" i="18"/>
  <c r="H12" i="18"/>
  <c r="H11" i="18"/>
  <c r="H10" i="18"/>
  <c r="H9" i="18"/>
  <c r="H8" i="18"/>
  <c r="H7" i="18"/>
  <c r="L129" i="20"/>
  <c r="L128" i="20"/>
  <c r="L126" i="20"/>
  <c r="L125" i="20"/>
  <c r="L124" i="20"/>
  <c r="L122" i="20"/>
  <c r="L121" i="20"/>
  <c r="L120" i="20"/>
  <c r="L119" i="20"/>
  <c r="L118" i="20"/>
  <c r="L117" i="20"/>
  <c r="L116" i="20"/>
  <c r="L115" i="20"/>
  <c r="L114" i="20"/>
  <c r="L113" i="20"/>
  <c r="L112" i="20"/>
  <c r="L111" i="20"/>
  <c r="L110" i="20"/>
  <c r="L109" i="20"/>
  <c r="L108" i="20"/>
  <c r="L107" i="20"/>
  <c r="L106" i="20"/>
  <c r="L105" i="20"/>
  <c r="L104" i="20"/>
  <c r="L103" i="20"/>
  <c r="L102" i="20"/>
  <c r="L101" i="20"/>
  <c r="L100" i="20"/>
  <c r="L99" i="20"/>
  <c r="L98" i="20"/>
  <c r="L97" i="20"/>
  <c r="L96" i="20"/>
  <c r="L95" i="20"/>
  <c r="L94" i="20"/>
  <c r="L93" i="20"/>
  <c r="L92" i="20"/>
  <c r="L91" i="20"/>
  <c r="L90" i="20"/>
  <c r="L89" i="20"/>
  <c r="L88" i="20"/>
  <c r="L87" i="20"/>
  <c r="L86" i="20"/>
  <c r="L85" i="20"/>
  <c r="L84" i="20"/>
  <c r="L83" i="20"/>
  <c r="L82" i="20"/>
  <c r="L81" i="20"/>
  <c r="L80" i="20"/>
  <c r="L78" i="20"/>
  <c r="L77" i="20"/>
  <c r="L76" i="20"/>
  <c r="L75" i="20"/>
  <c r="L74" i="20"/>
  <c r="L73" i="20"/>
  <c r="L72" i="20"/>
  <c r="L71" i="20"/>
  <c r="L70" i="20"/>
  <c r="L69" i="20"/>
  <c r="L68" i="20"/>
  <c r="L67" i="20"/>
  <c r="L66" i="20"/>
  <c r="L65" i="20"/>
  <c r="L64" i="20"/>
  <c r="L63" i="20"/>
  <c r="L62" i="20"/>
  <c r="L61" i="20"/>
  <c r="L60" i="20"/>
  <c r="L59" i="20"/>
  <c r="L58" i="20"/>
  <c r="L57" i="20"/>
  <c r="L56" i="20"/>
  <c r="L54" i="20"/>
  <c r="L53" i="20"/>
  <c r="L52" i="20"/>
  <c r="L51" i="20"/>
  <c r="L50" i="20"/>
  <c r="L49" i="20"/>
  <c r="L48" i="20"/>
  <c r="L47" i="20"/>
  <c r="L46" i="20"/>
  <c r="L45" i="20"/>
  <c r="L44" i="20"/>
  <c r="L43" i="20"/>
  <c r="L42" i="20"/>
  <c r="L40" i="20"/>
  <c r="L38" i="20"/>
  <c r="L37" i="20"/>
  <c r="L36" i="20"/>
  <c r="L35" i="20"/>
  <c r="L34" i="20"/>
  <c r="L33" i="20"/>
  <c r="L32" i="20"/>
  <c r="L31" i="20"/>
  <c r="L30" i="20"/>
  <c r="L29" i="20"/>
  <c r="L28" i="20"/>
  <c r="L27" i="20"/>
  <c r="L26" i="20"/>
  <c r="L25" i="20"/>
  <c r="L24" i="20"/>
  <c r="L23" i="20"/>
  <c r="L22" i="20"/>
  <c r="L21" i="20"/>
  <c r="L19" i="20"/>
  <c r="L15" i="20"/>
  <c r="L14" i="20"/>
  <c r="L13" i="20"/>
  <c r="L12" i="20"/>
  <c r="L11" i="20"/>
  <c r="L10" i="20"/>
  <c r="L9" i="20"/>
  <c r="L8" i="20"/>
  <c r="L7" i="20"/>
  <c r="C129" i="20"/>
  <c r="B129" i="20"/>
  <c r="C128" i="20"/>
  <c r="B128" i="20"/>
  <c r="C127" i="20"/>
  <c r="B127" i="20"/>
  <c r="C126" i="20"/>
  <c r="B126" i="20"/>
  <c r="C125" i="20"/>
  <c r="B125" i="20"/>
  <c r="C124" i="20"/>
  <c r="B124" i="20"/>
  <c r="C123" i="20"/>
  <c r="B123" i="20"/>
  <c r="C122" i="20"/>
  <c r="B122" i="20"/>
  <c r="C121" i="20"/>
  <c r="B121" i="20"/>
  <c r="C120" i="20"/>
  <c r="B120" i="20"/>
  <c r="C119" i="20"/>
  <c r="B119" i="20"/>
  <c r="C118" i="20"/>
  <c r="B118" i="20"/>
  <c r="C117" i="20"/>
  <c r="B117" i="20"/>
  <c r="C116" i="20"/>
  <c r="B116" i="20"/>
  <c r="C115" i="20"/>
  <c r="B115" i="20"/>
  <c r="C114" i="20"/>
  <c r="B114" i="20"/>
  <c r="C113" i="20"/>
  <c r="B113" i="20"/>
  <c r="C112" i="20"/>
  <c r="B112" i="20"/>
  <c r="C111" i="20"/>
  <c r="B111" i="20"/>
  <c r="C110" i="20"/>
  <c r="B110" i="20"/>
  <c r="C109" i="20"/>
  <c r="B109" i="20"/>
  <c r="C108" i="20"/>
  <c r="B108" i="20"/>
  <c r="C107" i="20"/>
  <c r="B107" i="20"/>
  <c r="C106" i="20"/>
  <c r="B106" i="20"/>
  <c r="C105" i="20"/>
  <c r="B105" i="20"/>
  <c r="C104" i="20"/>
  <c r="B104" i="20"/>
  <c r="C103" i="20"/>
  <c r="B103" i="20"/>
  <c r="C102" i="20"/>
  <c r="B102" i="20"/>
  <c r="C101" i="20"/>
  <c r="B101" i="20"/>
  <c r="C100" i="20"/>
  <c r="B100" i="20"/>
  <c r="C99" i="20"/>
  <c r="B99" i="20"/>
  <c r="C98" i="20"/>
  <c r="B98" i="20"/>
  <c r="C97" i="20"/>
  <c r="B97" i="20"/>
  <c r="C96" i="20"/>
  <c r="B96" i="20"/>
  <c r="C95" i="20"/>
  <c r="B95" i="20"/>
  <c r="C94" i="20"/>
  <c r="B94" i="20"/>
  <c r="C93" i="20"/>
  <c r="B93" i="20"/>
  <c r="C92" i="20"/>
  <c r="B92" i="20"/>
  <c r="C91" i="20"/>
  <c r="B91" i="20"/>
  <c r="C90" i="20"/>
  <c r="B90" i="20"/>
  <c r="C89" i="20"/>
  <c r="B89" i="20"/>
  <c r="C88" i="20"/>
  <c r="B88" i="20"/>
  <c r="C87" i="20"/>
  <c r="B87" i="20"/>
  <c r="C86" i="20"/>
  <c r="B86" i="20"/>
  <c r="C85" i="20"/>
  <c r="B85" i="20"/>
  <c r="C84" i="20"/>
  <c r="B84" i="20"/>
  <c r="C83" i="20"/>
  <c r="B83" i="20"/>
  <c r="C82" i="20"/>
  <c r="B82" i="20"/>
  <c r="C81" i="20"/>
  <c r="B81" i="20"/>
  <c r="C80" i="20"/>
  <c r="B80" i="20"/>
  <c r="C79" i="20"/>
  <c r="B79" i="20"/>
  <c r="C78" i="20"/>
  <c r="B78" i="20"/>
  <c r="C77" i="20"/>
  <c r="B77" i="20"/>
  <c r="C76" i="20"/>
  <c r="B76" i="20"/>
  <c r="C75" i="20"/>
  <c r="B75" i="20"/>
  <c r="C74" i="20"/>
  <c r="B74" i="20"/>
  <c r="C73" i="20"/>
  <c r="B73" i="20"/>
  <c r="C72" i="20"/>
  <c r="B72" i="20"/>
  <c r="C71" i="20"/>
  <c r="B71" i="20"/>
  <c r="C70" i="20"/>
  <c r="B70" i="20"/>
  <c r="C69" i="20"/>
  <c r="B69" i="20"/>
  <c r="C68" i="20"/>
  <c r="B68" i="20"/>
  <c r="C67" i="20"/>
  <c r="B67" i="20"/>
  <c r="C66" i="20"/>
  <c r="B66" i="20"/>
  <c r="C65" i="20"/>
  <c r="B65" i="20"/>
  <c r="C64" i="20"/>
  <c r="B64" i="20"/>
  <c r="C63" i="20"/>
  <c r="B63" i="20"/>
  <c r="C62" i="20"/>
  <c r="B62" i="20"/>
  <c r="C61" i="20"/>
  <c r="B61" i="20"/>
  <c r="C60" i="20"/>
  <c r="B60" i="20"/>
  <c r="C59" i="20"/>
  <c r="B59" i="20"/>
  <c r="C58" i="20"/>
  <c r="B58" i="20"/>
  <c r="C57" i="20"/>
  <c r="B57" i="20"/>
  <c r="C56" i="20"/>
  <c r="B56" i="20"/>
  <c r="C55" i="20"/>
  <c r="B55" i="20"/>
  <c r="C54" i="20"/>
  <c r="B54" i="20"/>
  <c r="C53" i="20"/>
  <c r="B53" i="20"/>
  <c r="C52" i="20"/>
  <c r="B52" i="20"/>
  <c r="C51" i="20"/>
  <c r="B51" i="20"/>
  <c r="C50" i="20"/>
  <c r="B50" i="20"/>
  <c r="C49" i="20"/>
  <c r="B49" i="20"/>
  <c r="C48" i="20"/>
  <c r="B48" i="20"/>
  <c r="C47" i="20"/>
  <c r="B47" i="20"/>
  <c r="C46" i="20"/>
  <c r="B46" i="20"/>
  <c r="C45" i="20"/>
  <c r="B45" i="20"/>
  <c r="C44" i="20"/>
  <c r="B44" i="20"/>
  <c r="C43" i="20"/>
  <c r="B43" i="20"/>
  <c r="C42" i="20"/>
  <c r="B42" i="20"/>
  <c r="C41" i="20"/>
  <c r="B41" i="20"/>
  <c r="C40" i="20"/>
  <c r="B40" i="20"/>
  <c r="C39" i="20"/>
  <c r="B39" i="20"/>
  <c r="C38" i="20"/>
  <c r="B38" i="20"/>
  <c r="C37" i="20"/>
  <c r="B37" i="20"/>
  <c r="C36" i="20"/>
  <c r="B36" i="20"/>
  <c r="C35" i="20"/>
  <c r="B35" i="20"/>
  <c r="C34" i="20"/>
  <c r="B34" i="20"/>
  <c r="C33" i="20"/>
  <c r="B33" i="20"/>
  <c r="C32" i="20"/>
  <c r="B32" i="20"/>
  <c r="C31" i="20"/>
  <c r="B31" i="20"/>
  <c r="C30" i="20"/>
  <c r="B30" i="20"/>
  <c r="C29" i="20"/>
  <c r="B29" i="20"/>
  <c r="C28" i="20"/>
  <c r="B28" i="20"/>
  <c r="C27" i="20"/>
  <c r="B27" i="20"/>
  <c r="C26" i="20"/>
  <c r="B26" i="20"/>
  <c r="C25" i="20"/>
  <c r="B25" i="20"/>
  <c r="C24" i="20"/>
  <c r="B24" i="20"/>
  <c r="C23" i="20"/>
  <c r="B23" i="20"/>
  <c r="C22" i="20"/>
  <c r="B22" i="20"/>
  <c r="C21" i="20"/>
  <c r="B21" i="20"/>
  <c r="C20" i="20"/>
  <c r="B20" i="20"/>
  <c r="C19" i="20"/>
  <c r="B19" i="20"/>
  <c r="C18" i="20"/>
  <c r="B18" i="20"/>
  <c r="C17" i="20"/>
  <c r="B17" i="20"/>
  <c r="C16" i="20"/>
  <c r="B16" i="20"/>
  <c r="C15" i="20"/>
  <c r="B15" i="20"/>
  <c r="C14" i="20"/>
  <c r="B14" i="20"/>
  <c r="C13" i="20"/>
  <c r="B13" i="20"/>
  <c r="C12" i="20"/>
  <c r="B12" i="20"/>
  <c r="C11" i="20"/>
  <c r="B11" i="20"/>
  <c r="C10" i="20"/>
  <c r="B10" i="20"/>
  <c r="C9" i="20"/>
  <c r="B9" i="20"/>
  <c r="C8" i="20"/>
  <c r="B8" i="20"/>
  <c r="C7" i="20"/>
  <c r="B7" i="20"/>
  <c r="Q129" i="22"/>
  <c r="P129" i="22"/>
  <c r="O129" i="22"/>
  <c r="Q128" i="22"/>
  <c r="Q127" i="22"/>
  <c r="Q126" i="22"/>
  <c r="P126" i="22"/>
  <c r="O126" i="22"/>
  <c r="Q125" i="22"/>
  <c r="Q124" i="22"/>
  <c r="Q123" i="22"/>
  <c r="Q122" i="22"/>
  <c r="Q121" i="22"/>
  <c r="Q120" i="22"/>
  <c r="Q119" i="22"/>
  <c r="Q118" i="22"/>
  <c r="P118" i="22"/>
  <c r="O118" i="22"/>
  <c r="Q117" i="22"/>
  <c r="Q116" i="22"/>
  <c r="Q115" i="22"/>
  <c r="Q114" i="22"/>
  <c r="P114" i="22"/>
  <c r="O114" i="22"/>
  <c r="Q113" i="22"/>
  <c r="Q112" i="22"/>
  <c r="P112" i="22"/>
  <c r="O112" i="22"/>
  <c r="Q111" i="22"/>
  <c r="P111" i="22"/>
  <c r="O111" i="22"/>
  <c r="Q110" i="22"/>
  <c r="Q109" i="22"/>
  <c r="P109" i="22"/>
  <c r="O109" i="22"/>
  <c r="Q108" i="22"/>
  <c r="P108" i="22"/>
  <c r="O108" i="22"/>
  <c r="Q107" i="22"/>
  <c r="Q106" i="22"/>
  <c r="P106" i="22"/>
  <c r="O106" i="22"/>
  <c r="Q105" i="22"/>
  <c r="P105" i="22"/>
  <c r="O105" i="22"/>
  <c r="Q104" i="22"/>
  <c r="Q103" i="22"/>
  <c r="Q102" i="22"/>
  <c r="P102" i="22"/>
  <c r="O102" i="22"/>
  <c r="Q101" i="22"/>
  <c r="P101" i="22"/>
  <c r="O101" i="22"/>
  <c r="Q100" i="22"/>
  <c r="Q99" i="22"/>
  <c r="Q98" i="22"/>
  <c r="Q97" i="22"/>
  <c r="Q96" i="22"/>
  <c r="Q95" i="22"/>
  <c r="Q94" i="22"/>
  <c r="Q93" i="22"/>
  <c r="Q91" i="22"/>
  <c r="Q90" i="22"/>
  <c r="P90" i="22"/>
  <c r="O90" i="22"/>
  <c r="Q89" i="22"/>
  <c r="P89" i="22"/>
  <c r="O89" i="22"/>
  <c r="Q88" i="22"/>
  <c r="Q87" i="22"/>
  <c r="Q86" i="22"/>
  <c r="Q85" i="22"/>
  <c r="P85" i="22"/>
  <c r="O85" i="22"/>
  <c r="Q84" i="22"/>
  <c r="Q83" i="22"/>
  <c r="Q82" i="22"/>
  <c r="P82" i="22"/>
  <c r="O82" i="22"/>
  <c r="Q81" i="22"/>
  <c r="P81" i="22"/>
  <c r="O81" i="22"/>
  <c r="Q80" i="22"/>
  <c r="P80" i="22"/>
  <c r="O80" i="22"/>
  <c r="Q79" i="22"/>
  <c r="P79" i="22"/>
  <c r="O79" i="22"/>
  <c r="Q78" i="22"/>
  <c r="Q77" i="22"/>
  <c r="Q76" i="22"/>
  <c r="Q75" i="22"/>
  <c r="P75" i="22"/>
  <c r="O75" i="22"/>
  <c r="Q74" i="22"/>
  <c r="P74" i="22"/>
  <c r="O74" i="22"/>
  <c r="Q73" i="22"/>
  <c r="P73" i="22"/>
  <c r="O73" i="22"/>
  <c r="Q72" i="22"/>
  <c r="P72" i="22"/>
  <c r="O72" i="22"/>
  <c r="Q71" i="22"/>
  <c r="P71" i="22"/>
  <c r="O71" i="22"/>
  <c r="Q70" i="22"/>
  <c r="P70" i="22"/>
  <c r="O70" i="22"/>
  <c r="Q69" i="22"/>
  <c r="Q68" i="22"/>
  <c r="Q67" i="22"/>
  <c r="P67" i="22"/>
  <c r="O67" i="22"/>
  <c r="Q66" i="22"/>
  <c r="P66" i="22"/>
  <c r="O66" i="22"/>
  <c r="Q65" i="22"/>
  <c r="Q64" i="22"/>
  <c r="Q63" i="22"/>
  <c r="Q62" i="22"/>
  <c r="Q61" i="22"/>
  <c r="Q60" i="22"/>
  <c r="Q59" i="22"/>
  <c r="P59" i="22"/>
  <c r="O59" i="22"/>
  <c r="Q58" i="22"/>
  <c r="Q57" i="22"/>
  <c r="Q56" i="22"/>
  <c r="Q55" i="22"/>
  <c r="Q54" i="22"/>
  <c r="Q53" i="22"/>
  <c r="Q52" i="22"/>
  <c r="Q51" i="22"/>
  <c r="Q50" i="22"/>
  <c r="Q49" i="22"/>
  <c r="P49" i="22"/>
  <c r="O49" i="22"/>
  <c r="Q48" i="22"/>
  <c r="P48" i="22"/>
  <c r="O48" i="22"/>
  <c r="Q47" i="22"/>
  <c r="P47" i="22"/>
  <c r="O47" i="22"/>
  <c r="Q46" i="22"/>
  <c r="Q45" i="22"/>
  <c r="Q44" i="22"/>
  <c r="Q43" i="22"/>
  <c r="Q42" i="22"/>
  <c r="Q41" i="22"/>
  <c r="P41" i="22"/>
  <c r="O41" i="22"/>
  <c r="Q40" i="22"/>
  <c r="P40" i="22"/>
  <c r="O40" i="22"/>
  <c r="Q39" i="22"/>
  <c r="P39" i="22"/>
  <c r="O39" i="22"/>
  <c r="Q38" i="22"/>
  <c r="P38" i="22"/>
  <c r="O38" i="22"/>
  <c r="Q37" i="22"/>
  <c r="P37" i="22"/>
  <c r="O37" i="22"/>
  <c r="Q36" i="22"/>
  <c r="P36" i="22"/>
  <c r="O36" i="22"/>
  <c r="Q35" i="22"/>
  <c r="Q34" i="22"/>
  <c r="Q33" i="22"/>
  <c r="Q32" i="22"/>
  <c r="Q31" i="22"/>
  <c r="P31" i="22"/>
  <c r="O31" i="22"/>
  <c r="Q30" i="22"/>
  <c r="Q29" i="22"/>
  <c r="P29" i="22"/>
  <c r="O29" i="22"/>
  <c r="Q28" i="22"/>
  <c r="Q27" i="22"/>
  <c r="Q26" i="22"/>
  <c r="Q25" i="22"/>
  <c r="P25" i="22"/>
  <c r="O25" i="22"/>
  <c r="Q24" i="22"/>
  <c r="Q23" i="22"/>
  <c r="Q22" i="22"/>
  <c r="Q21" i="22"/>
  <c r="P21" i="22"/>
  <c r="O21" i="22"/>
  <c r="Q20" i="22"/>
  <c r="P20" i="22"/>
  <c r="O20" i="22"/>
  <c r="Q19" i="22"/>
  <c r="P19" i="22"/>
  <c r="O19" i="22"/>
  <c r="Q18" i="22"/>
  <c r="P18" i="22"/>
  <c r="O18" i="22"/>
  <c r="Q17" i="22"/>
  <c r="P17" i="22"/>
  <c r="O17" i="22"/>
  <c r="Q16" i="22"/>
  <c r="P16" i="22"/>
  <c r="O16" i="22"/>
  <c r="Q15" i="22"/>
  <c r="Q14" i="22"/>
  <c r="P14" i="22"/>
  <c r="O14" i="22"/>
  <c r="Q13" i="22"/>
  <c r="P13" i="22"/>
  <c r="O13" i="22"/>
  <c r="Q12" i="22"/>
  <c r="P12" i="22"/>
  <c r="O12" i="22"/>
  <c r="Q11" i="22"/>
  <c r="P11" i="22"/>
  <c r="O11" i="22"/>
  <c r="Q10" i="22"/>
  <c r="Q9" i="22"/>
  <c r="Q8" i="22"/>
  <c r="P8" i="22"/>
  <c r="O8" i="22"/>
  <c r="Q7" i="22"/>
  <c r="J129" i="22"/>
  <c r="I129" i="22"/>
  <c r="J126" i="22"/>
  <c r="I126" i="22"/>
  <c r="J118" i="22"/>
  <c r="I118" i="22"/>
  <c r="J112" i="22"/>
  <c r="I112" i="22"/>
  <c r="J111" i="22"/>
  <c r="I111" i="22"/>
  <c r="J89" i="22"/>
  <c r="I89" i="22"/>
  <c r="J85" i="22"/>
  <c r="I85" i="22"/>
  <c r="J81" i="22"/>
  <c r="I81" i="22"/>
  <c r="J80" i="22"/>
  <c r="I80" i="22"/>
  <c r="J40" i="22"/>
  <c r="I40" i="22"/>
  <c r="J38" i="22"/>
  <c r="I38" i="22"/>
  <c r="J37" i="22"/>
  <c r="I37" i="22"/>
  <c r="J36" i="22"/>
  <c r="I36" i="22"/>
  <c r="J29" i="22"/>
  <c r="I29" i="22"/>
  <c r="J21" i="22"/>
  <c r="I21" i="22"/>
  <c r="J14" i="22"/>
  <c r="I14" i="22"/>
  <c r="J13" i="22"/>
  <c r="I13" i="22"/>
  <c r="J12" i="22"/>
  <c r="I12" i="22"/>
  <c r="D129" i="22"/>
  <c r="B129" i="22"/>
  <c r="D128" i="22"/>
  <c r="B128" i="22"/>
  <c r="D127" i="22"/>
  <c r="B127" i="22"/>
  <c r="D126" i="22"/>
  <c r="B126" i="22"/>
  <c r="D125" i="22"/>
  <c r="B125" i="22"/>
  <c r="D124" i="22"/>
  <c r="B124" i="22"/>
  <c r="D123" i="22"/>
  <c r="B123" i="22"/>
  <c r="D122" i="22"/>
  <c r="B122" i="22"/>
  <c r="D121" i="22"/>
  <c r="B121" i="22"/>
  <c r="D120" i="22"/>
  <c r="B120" i="22"/>
  <c r="D119" i="22"/>
  <c r="B119" i="22"/>
  <c r="D118" i="22"/>
  <c r="B118" i="22"/>
  <c r="D117" i="22"/>
  <c r="B117" i="22"/>
  <c r="D116" i="22"/>
  <c r="B116" i="22"/>
  <c r="D115" i="22"/>
  <c r="B115" i="22"/>
  <c r="D114" i="22"/>
  <c r="B114" i="22"/>
  <c r="D113" i="22"/>
  <c r="B113" i="22"/>
  <c r="D112" i="22"/>
  <c r="B112" i="22"/>
  <c r="D111" i="22"/>
  <c r="B111" i="22"/>
  <c r="D110" i="22"/>
  <c r="B110" i="22"/>
  <c r="D109" i="22"/>
  <c r="B109" i="22"/>
  <c r="D108" i="22"/>
  <c r="B108" i="22"/>
  <c r="D107" i="22"/>
  <c r="B107" i="22"/>
  <c r="D106" i="22"/>
  <c r="B106" i="22"/>
  <c r="D105" i="22"/>
  <c r="B105" i="22"/>
  <c r="D104" i="22"/>
  <c r="B104" i="22"/>
  <c r="D103" i="22"/>
  <c r="B103" i="22"/>
  <c r="D102" i="22"/>
  <c r="B102" i="22"/>
  <c r="D101" i="22"/>
  <c r="B101" i="22"/>
  <c r="D100" i="22"/>
  <c r="B100" i="22"/>
  <c r="D99" i="22"/>
  <c r="B99" i="22"/>
  <c r="D98" i="22"/>
  <c r="B98" i="22"/>
  <c r="D97" i="22"/>
  <c r="B97" i="22"/>
  <c r="D96" i="22"/>
  <c r="B96" i="22"/>
  <c r="D95" i="22"/>
  <c r="B95" i="22"/>
  <c r="D94" i="22"/>
  <c r="B94" i="22"/>
  <c r="D93" i="22"/>
  <c r="B93" i="22"/>
  <c r="D92" i="22"/>
  <c r="D91" i="22"/>
  <c r="B91" i="22"/>
  <c r="D90" i="22"/>
  <c r="B90" i="22"/>
  <c r="D89" i="22"/>
  <c r="B89" i="22"/>
  <c r="D88" i="22"/>
  <c r="B88" i="22"/>
  <c r="D87" i="22"/>
  <c r="B87" i="22"/>
  <c r="D86" i="22"/>
  <c r="B86" i="22"/>
  <c r="D85" i="22"/>
  <c r="B85" i="22"/>
  <c r="D84" i="22"/>
  <c r="B84" i="22"/>
  <c r="D83" i="22"/>
  <c r="B83" i="22"/>
  <c r="D82" i="22"/>
  <c r="B82" i="22"/>
  <c r="D81" i="22"/>
  <c r="B81" i="22"/>
  <c r="D80" i="22"/>
  <c r="B80" i="22"/>
  <c r="D79" i="22"/>
  <c r="B79" i="22"/>
  <c r="D78" i="22"/>
  <c r="B78" i="22"/>
  <c r="D77" i="22"/>
  <c r="B77" i="22"/>
  <c r="D76" i="22"/>
  <c r="B76" i="22"/>
  <c r="D75" i="22"/>
  <c r="B75" i="22"/>
  <c r="D74" i="22"/>
  <c r="B74" i="22"/>
  <c r="D73" i="22"/>
  <c r="B73" i="22"/>
  <c r="D72" i="22"/>
  <c r="B72" i="22"/>
  <c r="D71" i="22"/>
  <c r="B71" i="22"/>
  <c r="D70" i="22"/>
  <c r="B70" i="22"/>
  <c r="D69" i="22"/>
  <c r="B69" i="22"/>
  <c r="D68" i="22"/>
  <c r="B68" i="22"/>
  <c r="D67" i="22"/>
  <c r="B67" i="22"/>
  <c r="D66" i="22"/>
  <c r="B66" i="22"/>
  <c r="D65" i="22"/>
  <c r="B65" i="22"/>
  <c r="D64" i="22"/>
  <c r="B64" i="22"/>
  <c r="D63" i="22"/>
  <c r="B63" i="22"/>
  <c r="D62" i="22"/>
  <c r="B62" i="22"/>
  <c r="D61" i="22"/>
  <c r="B61" i="22"/>
  <c r="D60" i="22"/>
  <c r="B60" i="22"/>
  <c r="D59" i="22"/>
  <c r="B59" i="22"/>
  <c r="D58" i="22"/>
  <c r="B58" i="22"/>
  <c r="D57" i="22"/>
  <c r="B57" i="22"/>
  <c r="D56" i="22"/>
  <c r="B56" i="22"/>
  <c r="D55" i="22"/>
  <c r="B55" i="22"/>
  <c r="D54" i="22"/>
  <c r="B54" i="22"/>
  <c r="D53" i="22"/>
  <c r="B53" i="22"/>
  <c r="D52" i="22"/>
  <c r="B52" i="22"/>
  <c r="D51" i="22"/>
  <c r="B51" i="22"/>
  <c r="D50" i="22"/>
  <c r="B50" i="22"/>
  <c r="D49" i="22"/>
  <c r="B49" i="22"/>
  <c r="D48" i="22"/>
  <c r="B48" i="22"/>
  <c r="D47" i="22"/>
  <c r="B47" i="22"/>
  <c r="D46" i="22"/>
  <c r="B46" i="22"/>
  <c r="D45" i="22"/>
  <c r="B45" i="22"/>
  <c r="D44" i="22"/>
  <c r="B44" i="22"/>
  <c r="D43" i="22"/>
  <c r="B43" i="22"/>
  <c r="D42" i="22"/>
  <c r="B42" i="22"/>
  <c r="D41" i="22"/>
  <c r="B41" i="22"/>
  <c r="D40" i="22"/>
  <c r="B40" i="22"/>
  <c r="D39" i="22"/>
  <c r="B39" i="22"/>
  <c r="D38" i="22"/>
  <c r="B38" i="22"/>
  <c r="D37" i="22"/>
  <c r="B37" i="22"/>
  <c r="D36" i="22"/>
  <c r="B36" i="22"/>
  <c r="D35" i="22"/>
  <c r="B35" i="22"/>
  <c r="D34" i="22"/>
  <c r="B34" i="22"/>
  <c r="D33" i="22"/>
  <c r="B33" i="22"/>
  <c r="D32" i="22"/>
  <c r="B32" i="22"/>
  <c r="D31" i="22"/>
  <c r="B31" i="22"/>
  <c r="D30" i="22"/>
  <c r="B30" i="22"/>
  <c r="D29" i="22"/>
  <c r="B29" i="22"/>
  <c r="D28" i="22"/>
  <c r="B28" i="22"/>
  <c r="D27" i="22"/>
  <c r="B27" i="22"/>
  <c r="D26" i="22"/>
  <c r="B26" i="22"/>
  <c r="D25" i="22"/>
  <c r="B25" i="22"/>
  <c r="D24" i="22"/>
  <c r="B24" i="22"/>
  <c r="D23" i="22"/>
  <c r="B23" i="22"/>
  <c r="D22" i="22"/>
  <c r="B22" i="22"/>
  <c r="D21" i="22"/>
  <c r="B21" i="22"/>
  <c r="D20" i="22"/>
  <c r="B20" i="22"/>
  <c r="D19" i="22"/>
  <c r="B19" i="22"/>
  <c r="D18" i="22"/>
  <c r="B18" i="22"/>
  <c r="D17" i="22"/>
  <c r="B17" i="22"/>
  <c r="D16" i="22"/>
  <c r="B16" i="22"/>
  <c r="D15" i="22"/>
  <c r="B15" i="22"/>
  <c r="D14" i="22"/>
  <c r="B14" i="22"/>
  <c r="D13" i="22"/>
  <c r="B13" i="22"/>
  <c r="D12" i="22"/>
  <c r="B12" i="22"/>
  <c r="D11" i="22"/>
  <c r="B11" i="22"/>
  <c r="D10" i="22"/>
  <c r="B10" i="22"/>
  <c r="D9" i="22"/>
  <c r="B9" i="22"/>
  <c r="D8" i="22"/>
  <c r="B8" i="22"/>
  <c r="D7" i="22"/>
  <c r="B7" i="22"/>
  <c r="Q129" i="4"/>
  <c r="P129" i="4"/>
  <c r="M129" i="4"/>
  <c r="Q128" i="4"/>
  <c r="P128" i="4"/>
  <c r="M128" i="4"/>
  <c r="Q127" i="4"/>
  <c r="P127" i="4"/>
  <c r="M127" i="4"/>
  <c r="Q123" i="4"/>
  <c r="P123" i="4"/>
  <c r="M123" i="4"/>
  <c r="Q122" i="4"/>
  <c r="P122" i="4"/>
  <c r="M122" i="4"/>
  <c r="Q121" i="4"/>
  <c r="P121" i="4"/>
  <c r="M121" i="4"/>
  <c r="Q120" i="4"/>
  <c r="P120" i="4"/>
  <c r="M120" i="4"/>
  <c r="Q119" i="4"/>
  <c r="P119" i="4"/>
  <c r="M119" i="4"/>
  <c r="Q118" i="4"/>
  <c r="P118" i="4"/>
  <c r="M118" i="4"/>
  <c r="Q117" i="4"/>
  <c r="P117" i="4"/>
  <c r="M117" i="4"/>
  <c r="Q114" i="4"/>
  <c r="P114" i="4"/>
  <c r="M114" i="4"/>
  <c r="Q113" i="4"/>
  <c r="P113" i="4"/>
  <c r="M113" i="4"/>
  <c r="Q112" i="4"/>
  <c r="P112" i="4"/>
  <c r="M112" i="4"/>
  <c r="Q111" i="4"/>
  <c r="P111" i="4"/>
  <c r="M111" i="4"/>
  <c r="Q108" i="4"/>
  <c r="P108" i="4"/>
  <c r="M108" i="4"/>
  <c r="Q105" i="4"/>
  <c r="P105" i="4"/>
  <c r="M105" i="4"/>
  <c r="Q104" i="4"/>
  <c r="P104" i="4"/>
  <c r="M104" i="4"/>
  <c r="Q103" i="4"/>
  <c r="P103" i="4"/>
  <c r="M103" i="4"/>
  <c r="Q102" i="4"/>
  <c r="P102" i="4"/>
  <c r="M102" i="4"/>
  <c r="Q101" i="4"/>
  <c r="P101" i="4"/>
  <c r="M101" i="4"/>
  <c r="Q100" i="4"/>
  <c r="P100" i="4"/>
  <c r="M100" i="4"/>
  <c r="Q99" i="4"/>
  <c r="P99" i="4"/>
  <c r="M99" i="4"/>
  <c r="Q98" i="4"/>
  <c r="P98" i="4"/>
  <c r="M98" i="4"/>
  <c r="Q97" i="4"/>
  <c r="P97" i="4"/>
  <c r="M97" i="4"/>
  <c r="Q96" i="4"/>
  <c r="P96" i="4"/>
  <c r="M96" i="4"/>
  <c r="Q95" i="4"/>
  <c r="P95" i="4"/>
  <c r="M95" i="4"/>
  <c r="Q94" i="4"/>
  <c r="P94" i="4"/>
  <c r="M94" i="4"/>
  <c r="Q93" i="4"/>
  <c r="P93" i="4"/>
  <c r="M93" i="4"/>
  <c r="Q92" i="4"/>
  <c r="P92" i="4"/>
  <c r="M92" i="4"/>
  <c r="Q91" i="4"/>
  <c r="P91" i="4"/>
  <c r="M91" i="4"/>
  <c r="Q90" i="4"/>
  <c r="P90" i="4"/>
  <c r="M90" i="4"/>
  <c r="Q89" i="4"/>
  <c r="P89" i="4"/>
  <c r="M89" i="4"/>
  <c r="Q88" i="4"/>
  <c r="P88" i="4"/>
  <c r="M88" i="4"/>
  <c r="Q86" i="4"/>
  <c r="P86" i="4"/>
  <c r="M86" i="4"/>
  <c r="Q84" i="4"/>
  <c r="P84" i="4"/>
  <c r="M84" i="4"/>
  <c r="Q83" i="4"/>
  <c r="P83" i="4"/>
  <c r="M83" i="4"/>
  <c r="Q82" i="4"/>
  <c r="P82" i="4"/>
  <c r="M82" i="4"/>
  <c r="Q81" i="4"/>
  <c r="P81" i="4"/>
  <c r="M81" i="4"/>
  <c r="Q80" i="4"/>
  <c r="P80" i="4"/>
  <c r="M80" i="4"/>
  <c r="Q76" i="4"/>
  <c r="P76" i="4"/>
  <c r="M76" i="4"/>
  <c r="Q74" i="4"/>
  <c r="P74" i="4"/>
  <c r="M74" i="4"/>
  <c r="Q73" i="4"/>
  <c r="P73" i="4"/>
  <c r="M73" i="4"/>
  <c r="Q72" i="4"/>
  <c r="P72" i="4"/>
  <c r="M72" i="4"/>
  <c r="Q69" i="4"/>
  <c r="P69" i="4"/>
  <c r="M69" i="4"/>
  <c r="Q68" i="4"/>
  <c r="P68" i="4"/>
  <c r="M68" i="4"/>
  <c r="Q67" i="4"/>
  <c r="P67" i="4"/>
  <c r="M67" i="4"/>
  <c r="Q65" i="4"/>
  <c r="P65" i="4"/>
  <c r="M65" i="4"/>
  <c r="Q58" i="4"/>
  <c r="P58" i="4"/>
  <c r="M58" i="4"/>
  <c r="Q57" i="4"/>
  <c r="P57" i="4"/>
  <c r="M57" i="4"/>
  <c r="Q55" i="4"/>
  <c r="P55" i="4"/>
  <c r="M55" i="4"/>
  <c r="Q54" i="4"/>
  <c r="P54" i="4"/>
  <c r="M54" i="4"/>
  <c r="Q53" i="4"/>
  <c r="P53" i="4"/>
  <c r="M53" i="4"/>
  <c r="Q52" i="4"/>
  <c r="P52" i="4"/>
  <c r="M52" i="4"/>
  <c r="Q51" i="4"/>
  <c r="P51" i="4"/>
  <c r="M51" i="4"/>
  <c r="Q50" i="4"/>
  <c r="P50" i="4"/>
  <c r="M50" i="4"/>
  <c r="Q45" i="4"/>
  <c r="P45" i="4"/>
  <c r="M45" i="4"/>
  <c r="Q43" i="4"/>
  <c r="P43" i="4"/>
  <c r="M43" i="4"/>
  <c r="Q40" i="4"/>
  <c r="P40" i="4"/>
  <c r="M40" i="4"/>
  <c r="Q36" i="4"/>
  <c r="P36" i="4"/>
  <c r="M36" i="4"/>
  <c r="Q34" i="4"/>
  <c r="P34" i="4"/>
  <c r="M34" i="4"/>
  <c r="Q33" i="4"/>
  <c r="P33" i="4"/>
  <c r="M33" i="4"/>
  <c r="Q31" i="4"/>
  <c r="P31" i="4"/>
  <c r="M31" i="4"/>
  <c r="Q30" i="4"/>
  <c r="P30" i="4"/>
  <c r="M30" i="4"/>
  <c r="Q29" i="4"/>
  <c r="P29" i="4"/>
  <c r="M29" i="4"/>
  <c r="Q28" i="4"/>
  <c r="P28" i="4"/>
  <c r="M28" i="4"/>
  <c r="Q25" i="4"/>
  <c r="P25" i="4"/>
  <c r="M25" i="4"/>
  <c r="Q21" i="4"/>
  <c r="P21" i="4"/>
  <c r="M21" i="4"/>
  <c r="Q17" i="4"/>
  <c r="P17" i="4"/>
  <c r="M17" i="4"/>
  <c r="Q15" i="4"/>
  <c r="P15" i="4"/>
  <c r="M15" i="4"/>
  <c r="Q14" i="4"/>
  <c r="P14" i="4"/>
  <c r="M14" i="4"/>
  <c r="Q13" i="4"/>
  <c r="P13" i="4"/>
  <c r="M13" i="4"/>
  <c r="Q12" i="4"/>
  <c r="P12" i="4"/>
  <c r="M12" i="4"/>
  <c r="Q9" i="4"/>
  <c r="P9" i="4"/>
  <c r="M9" i="4"/>
  <c r="E10" i="25"/>
  <c r="E129" i="18"/>
  <c r="D129" i="18"/>
  <c r="C129" i="18"/>
  <c r="B129" i="18"/>
  <c r="E128" i="18"/>
  <c r="D128" i="18"/>
  <c r="C128" i="18"/>
  <c r="B128" i="18"/>
  <c r="C127" i="18"/>
  <c r="B127" i="18"/>
  <c r="E126" i="18"/>
  <c r="D126" i="18"/>
  <c r="C126" i="18"/>
  <c r="B126" i="18"/>
  <c r="E125" i="18"/>
  <c r="D125" i="18"/>
  <c r="C125" i="18"/>
  <c r="B125" i="18"/>
  <c r="E124" i="18"/>
  <c r="D124" i="18"/>
  <c r="C124" i="18"/>
  <c r="B124" i="18"/>
  <c r="B123" i="18"/>
  <c r="E122" i="18"/>
  <c r="D122" i="18"/>
  <c r="C122" i="18"/>
  <c r="B122" i="18"/>
  <c r="E121" i="18"/>
  <c r="D121" i="18"/>
  <c r="C121" i="18"/>
  <c r="B121" i="18"/>
  <c r="E120" i="18"/>
  <c r="D120" i="18"/>
  <c r="C120" i="18"/>
  <c r="B120" i="18"/>
  <c r="E119" i="18"/>
  <c r="D119" i="18"/>
  <c r="C119" i="18"/>
  <c r="B119" i="18"/>
  <c r="E118" i="18"/>
  <c r="D118" i="18"/>
  <c r="C118" i="18"/>
  <c r="B118" i="18"/>
  <c r="E117" i="18"/>
  <c r="D117" i="18"/>
  <c r="C117" i="18"/>
  <c r="B117" i="18"/>
  <c r="E116" i="18"/>
  <c r="D116" i="18"/>
  <c r="C116" i="18"/>
  <c r="B116" i="18"/>
  <c r="E115" i="18"/>
  <c r="D115" i="18"/>
  <c r="C115" i="18"/>
  <c r="B115" i="18"/>
  <c r="E114" i="18"/>
  <c r="D114" i="18"/>
  <c r="C114" i="18"/>
  <c r="B114" i="18"/>
  <c r="E113" i="18"/>
  <c r="D113" i="18"/>
  <c r="C113" i="18"/>
  <c r="B113" i="18"/>
  <c r="E112" i="18"/>
  <c r="D112" i="18"/>
  <c r="C112" i="18"/>
  <c r="B112" i="18"/>
  <c r="E111" i="18"/>
  <c r="D111" i="18"/>
  <c r="C111" i="18"/>
  <c r="B111" i="18"/>
  <c r="E110" i="18"/>
  <c r="D110" i="18"/>
  <c r="C110" i="18"/>
  <c r="B110" i="18"/>
  <c r="E109" i="18"/>
  <c r="D109" i="18"/>
  <c r="C109" i="18"/>
  <c r="B109" i="18"/>
  <c r="E108" i="18"/>
  <c r="D108" i="18"/>
  <c r="C108" i="18"/>
  <c r="B108" i="18"/>
  <c r="E107" i="18"/>
  <c r="D107" i="18"/>
  <c r="C107" i="18"/>
  <c r="B107" i="18"/>
  <c r="E106" i="18"/>
  <c r="D106" i="18"/>
  <c r="C106" i="18"/>
  <c r="B106" i="18"/>
  <c r="E105" i="18"/>
  <c r="D105" i="18"/>
  <c r="C105" i="18"/>
  <c r="B105" i="18"/>
  <c r="E104" i="18"/>
  <c r="D104" i="18"/>
  <c r="C104" i="18"/>
  <c r="B104" i="18"/>
  <c r="E103" i="18"/>
  <c r="D103" i="18"/>
  <c r="C103" i="18"/>
  <c r="B103" i="18"/>
  <c r="E102" i="18"/>
  <c r="D102" i="18"/>
  <c r="C102" i="18"/>
  <c r="B102" i="18"/>
  <c r="E101" i="18"/>
  <c r="D101" i="18"/>
  <c r="C101" i="18"/>
  <c r="B101" i="18"/>
  <c r="E100" i="18"/>
  <c r="D100" i="18"/>
  <c r="C100" i="18"/>
  <c r="B100" i="18"/>
  <c r="E99" i="18"/>
  <c r="D99" i="18"/>
  <c r="C99" i="18"/>
  <c r="B99" i="18"/>
  <c r="E98" i="18"/>
  <c r="D98" i="18"/>
  <c r="C98" i="18"/>
  <c r="B98" i="18"/>
  <c r="E97" i="18"/>
  <c r="D97" i="18"/>
  <c r="C97" i="18"/>
  <c r="B97" i="18"/>
  <c r="E96" i="18"/>
  <c r="D96" i="18"/>
  <c r="C96" i="18"/>
  <c r="B96" i="18"/>
  <c r="E95" i="18"/>
  <c r="D95" i="18"/>
  <c r="C95" i="18"/>
  <c r="B95" i="18"/>
  <c r="E94" i="18"/>
  <c r="D94" i="18"/>
  <c r="C94" i="18"/>
  <c r="B94" i="18"/>
  <c r="E93" i="18"/>
  <c r="D93" i="18"/>
  <c r="C93" i="18"/>
  <c r="B93" i="18"/>
  <c r="E92" i="18"/>
  <c r="D92" i="18"/>
  <c r="C92" i="18"/>
  <c r="B92" i="18"/>
  <c r="E91" i="18"/>
  <c r="D91" i="18"/>
  <c r="C91" i="18"/>
  <c r="B91" i="18"/>
  <c r="E90" i="18"/>
  <c r="D90" i="18"/>
  <c r="C90" i="18"/>
  <c r="B90" i="18"/>
  <c r="E89" i="18"/>
  <c r="D89" i="18"/>
  <c r="C89" i="18"/>
  <c r="B89" i="18"/>
  <c r="E88" i="18"/>
  <c r="D88" i="18"/>
  <c r="C88" i="18"/>
  <c r="B88" i="18"/>
  <c r="E87" i="18"/>
  <c r="D87" i="18"/>
  <c r="C87" i="18"/>
  <c r="B87" i="18"/>
  <c r="E86" i="18"/>
  <c r="D86" i="18"/>
  <c r="C86" i="18"/>
  <c r="B86" i="18"/>
  <c r="E85" i="18"/>
  <c r="D85" i="18"/>
  <c r="C85" i="18"/>
  <c r="B85" i="18"/>
  <c r="E84" i="18"/>
  <c r="D84" i="18"/>
  <c r="C84" i="18"/>
  <c r="B84" i="18"/>
  <c r="E83" i="18"/>
  <c r="D83" i="18"/>
  <c r="C83" i="18"/>
  <c r="B83" i="18"/>
  <c r="E82" i="18"/>
  <c r="D82" i="18"/>
  <c r="C82" i="18"/>
  <c r="B82" i="18"/>
  <c r="E81" i="18"/>
  <c r="D81" i="18"/>
  <c r="C81" i="18"/>
  <c r="B81" i="18"/>
  <c r="E80" i="18"/>
  <c r="D80" i="18"/>
  <c r="C80" i="18"/>
  <c r="B80" i="18"/>
  <c r="E79" i="18"/>
  <c r="D79" i="18"/>
  <c r="C79" i="18"/>
  <c r="B79" i="18"/>
  <c r="E78" i="18"/>
  <c r="D78" i="18"/>
  <c r="C78" i="18"/>
  <c r="B78" i="18"/>
  <c r="E77" i="18"/>
  <c r="D77" i="18"/>
  <c r="C77" i="18"/>
  <c r="B77" i="18"/>
  <c r="E76" i="18"/>
  <c r="D76" i="18"/>
  <c r="C76" i="18"/>
  <c r="B76" i="18"/>
  <c r="E75" i="18"/>
  <c r="D75" i="18"/>
  <c r="C75" i="18"/>
  <c r="B75" i="18"/>
  <c r="E74" i="18"/>
  <c r="D74" i="18"/>
  <c r="C74" i="18"/>
  <c r="B74" i="18"/>
  <c r="E73" i="18"/>
  <c r="D73" i="18"/>
  <c r="C73" i="18"/>
  <c r="B73" i="18"/>
  <c r="E72" i="18"/>
  <c r="D72" i="18"/>
  <c r="C72" i="18"/>
  <c r="B72" i="18"/>
  <c r="E71" i="18"/>
  <c r="D71" i="18"/>
  <c r="C71" i="18"/>
  <c r="B71" i="18"/>
  <c r="E70" i="18"/>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3" i="18"/>
  <c r="D33" i="18"/>
  <c r="C33" i="18"/>
  <c r="B33"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E21" i="18"/>
  <c r="D21" i="18"/>
  <c r="C21" i="18"/>
  <c r="B21" i="18"/>
  <c r="E20" i="18"/>
  <c r="D20" i="18"/>
  <c r="C20" i="18"/>
  <c r="B20" i="18"/>
  <c r="E19" i="18"/>
  <c r="D19" i="18"/>
  <c r="C19" i="18"/>
  <c r="B19" i="18"/>
  <c r="E18" i="18"/>
  <c r="D18" i="18"/>
  <c r="C18" i="18"/>
  <c r="B18" i="18"/>
  <c r="E17" i="18"/>
  <c r="D17" i="18"/>
  <c r="C17" i="18"/>
  <c r="B17" i="18"/>
  <c r="E16" i="18"/>
  <c r="D16" i="18"/>
  <c r="C16" i="18"/>
  <c r="B16" i="18"/>
  <c r="E15" i="18"/>
  <c r="D15" i="18"/>
  <c r="C15" i="18"/>
  <c r="B15" i="18"/>
  <c r="E14" i="18"/>
  <c r="D14" i="18"/>
  <c r="C14" i="18"/>
  <c r="B14" i="18"/>
  <c r="E13" i="18"/>
  <c r="D13" i="18"/>
  <c r="C13" i="18"/>
  <c r="B13" i="18"/>
  <c r="E12" i="18"/>
  <c r="D12" i="18"/>
  <c r="C12" i="18"/>
  <c r="B12" i="18"/>
  <c r="E11" i="18"/>
  <c r="D11" i="18"/>
  <c r="C11" i="18"/>
  <c r="B11" i="18"/>
  <c r="E10" i="18"/>
  <c r="D10" i="18"/>
  <c r="C10" i="18"/>
  <c r="B10" i="18"/>
  <c r="E9" i="18"/>
  <c r="D9" i="18"/>
  <c r="C9" i="18"/>
  <c r="B9" i="18"/>
  <c r="E8" i="18"/>
  <c r="D8" i="18"/>
  <c r="C8" i="18"/>
  <c r="B8" i="18"/>
  <c r="E7" i="18"/>
  <c r="D7" i="18"/>
  <c r="C7" i="18"/>
  <c r="B7" i="18"/>
  <c r="E5" i="18"/>
  <c r="D5" i="18"/>
  <c r="C5" i="18"/>
  <c r="B5" i="18"/>
  <c r="O129" i="20"/>
  <c r="O128" i="20"/>
  <c r="O126" i="20"/>
  <c r="O125" i="20"/>
  <c r="O124" i="20"/>
  <c r="O122" i="20"/>
  <c r="O121" i="20"/>
  <c r="O120" i="20"/>
  <c r="O119" i="20"/>
  <c r="O118" i="20"/>
  <c r="O117" i="20"/>
  <c r="O116" i="20"/>
  <c r="O115" i="20"/>
  <c r="O114" i="20"/>
  <c r="O113" i="20"/>
  <c r="O112" i="20"/>
  <c r="O111" i="20"/>
  <c r="O110" i="20"/>
  <c r="O109" i="20"/>
  <c r="O108" i="20"/>
  <c r="O107" i="20"/>
  <c r="O106" i="20"/>
  <c r="O105" i="20"/>
  <c r="O104" i="20"/>
  <c r="O103" i="20"/>
  <c r="O102" i="20"/>
  <c r="O101" i="20"/>
  <c r="O100" i="20"/>
  <c r="O99" i="20"/>
  <c r="O98" i="20"/>
  <c r="O97" i="20"/>
  <c r="O96" i="20"/>
  <c r="O95" i="20"/>
  <c r="O94" i="20"/>
  <c r="O93" i="20"/>
  <c r="O92" i="20"/>
  <c r="O91" i="20"/>
  <c r="O90" i="20"/>
  <c r="O89" i="20"/>
  <c r="O88" i="20"/>
  <c r="O87" i="20"/>
  <c r="O86" i="20"/>
  <c r="O85" i="20"/>
  <c r="O84" i="20"/>
  <c r="O83" i="20"/>
  <c r="O82" i="20"/>
  <c r="O81" i="20"/>
  <c r="O80" i="20"/>
  <c r="O78" i="20"/>
  <c r="O77" i="20"/>
  <c r="O76" i="20"/>
  <c r="O75" i="20"/>
  <c r="O74" i="20"/>
  <c r="O73" i="20"/>
  <c r="O72" i="20"/>
  <c r="O71" i="20"/>
  <c r="O70" i="20"/>
  <c r="O69" i="20"/>
  <c r="O68" i="20"/>
  <c r="O67" i="20"/>
  <c r="O66" i="20"/>
  <c r="O65" i="20"/>
  <c r="O64" i="20"/>
  <c r="O63" i="20"/>
  <c r="O62" i="20"/>
  <c r="O61" i="20"/>
  <c r="O60" i="20"/>
  <c r="O59" i="20"/>
  <c r="O58" i="20"/>
  <c r="O57" i="20"/>
  <c r="O56" i="20"/>
  <c r="O54" i="20"/>
  <c r="O53" i="20"/>
  <c r="O52" i="20"/>
  <c r="O51" i="20"/>
  <c r="O50" i="20"/>
  <c r="O49" i="20"/>
  <c r="O48" i="20"/>
  <c r="O47" i="20"/>
  <c r="O46" i="20"/>
  <c r="O45" i="20"/>
  <c r="O44" i="20"/>
  <c r="O43" i="20"/>
  <c r="O42" i="20"/>
  <c r="O40" i="20"/>
  <c r="O38" i="20"/>
  <c r="O37" i="20"/>
  <c r="O36" i="20"/>
  <c r="O35" i="20"/>
  <c r="O34" i="20"/>
  <c r="O33" i="20"/>
  <c r="O32" i="20"/>
  <c r="O31" i="20"/>
  <c r="O30" i="20"/>
  <c r="O29" i="20"/>
  <c r="O28" i="20"/>
  <c r="O27" i="20"/>
  <c r="O26" i="20"/>
  <c r="O25" i="20"/>
  <c r="O24" i="20"/>
  <c r="O23" i="20"/>
  <c r="O22" i="20"/>
  <c r="O21" i="20"/>
  <c r="O19" i="20"/>
  <c r="O15" i="20"/>
  <c r="O14" i="20"/>
  <c r="O13" i="20"/>
  <c r="O12" i="20"/>
  <c r="O11" i="20"/>
  <c r="O10" i="20"/>
  <c r="O9" i="20"/>
  <c r="O8" i="20"/>
  <c r="O7" i="20"/>
  <c r="T129" i="22"/>
  <c r="S129" i="22"/>
  <c r="T128" i="22"/>
  <c r="S128" i="22"/>
  <c r="T126" i="22"/>
  <c r="S126" i="22"/>
  <c r="T124" i="22"/>
  <c r="S124" i="22"/>
  <c r="T121" i="22"/>
  <c r="S121" i="22"/>
  <c r="T120" i="22"/>
  <c r="S120" i="22"/>
  <c r="T119" i="22"/>
  <c r="S119" i="22"/>
  <c r="T118" i="22"/>
  <c r="S118" i="22"/>
  <c r="T112" i="22"/>
  <c r="S112" i="22"/>
  <c r="T111" i="22"/>
  <c r="S111" i="22"/>
  <c r="T109" i="22"/>
  <c r="S109" i="22"/>
  <c r="T107" i="22"/>
  <c r="S107" i="22"/>
  <c r="T106" i="22"/>
  <c r="S106" i="22"/>
  <c r="T105" i="22"/>
  <c r="S105" i="22"/>
  <c r="T104" i="22"/>
  <c r="S104" i="22"/>
  <c r="T103" i="22"/>
  <c r="S103" i="22"/>
  <c r="T102" i="22"/>
  <c r="S102" i="22"/>
  <c r="T101" i="22"/>
  <c r="S101" i="22"/>
  <c r="T100" i="22"/>
  <c r="S100" i="22"/>
  <c r="T99" i="22"/>
  <c r="S99" i="22"/>
  <c r="T98" i="22"/>
  <c r="S98" i="22"/>
  <c r="T97" i="22"/>
  <c r="S97" i="22"/>
  <c r="T96" i="22"/>
  <c r="S96" i="22"/>
  <c r="T95" i="22"/>
  <c r="S95" i="22"/>
  <c r="T94" i="22"/>
  <c r="S94" i="22"/>
  <c r="T93" i="22"/>
  <c r="S93" i="22"/>
  <c r="T92" i="22"/>
  <c r="S92" i="22"/>
  <c r="T91" i="22"/>
  <c r="S91" i="22"/>
  <c r="T89" i="22"/>
  <c r="S89" i="22"/>
  <c r="T88" i="22"/>
  <c r="S88" i="22"/>
  <c r="T87" i="22"/>
  <c r="S87" i="22"/>
  <c r="T86" i="22"/>
  <c r="S86" i="22"/>
  <c r="T85" i="22"/>
  <c r="S85" i="22"/>
  <c r="T84" i="22"/>
  <c r="S84" i="22"/>
  <c r="T83" i="22"/>
  <c r="S83" i="22"/>
  <c r="T82" i="22"/>
  <c r="S82" i="22"/>
  <c r="T81" i="22"/>
  <c r="S81" i="22"/>
  <c r="T80" i="22"/>
  <c r="S80" i="22"/>
  <c r="T78" i="22"/>
  <c r="S78" i="22"/>
  <c r="T71" i="22"/>
  <c r="S71" i="22"/>
  <c r="T70" i="22"/>
  <c r="S70" i="22"/>
  <c r="T68" i="22"/>
  <c r="S68" i="22"/>
  <c r="T67" i="22"/>
  <c r="S67" i="22"/>
  <c r="T66" i="22"/>
  <c r="S66" i="22"/>
  <c r="T63" i="22"/>
  <c r="S63" i="22"/>
  <c r="T62" i="22"/>
  <c r="S62" i="22"/>
  <c r="T61" i="22"/>
  <c r="S61" i="22"/>
  <c r="T60" i="22"/>
  <c r="S60" i="22"/>
  <c r="T56" i="22"/>
  <c r="S56" i="22"/>
  <c r="T54" i="22"/>
  <c r="S54" i="22"/>
  <c r="T53" i="22"/>
  <c r="S53" i="22"/>
  <c r="T52" i="22"/>
  <c r="S52" i="22"/>
  <c r="T50" i="22"/>
  <c r="S50" i="22"/>
  <c r="T44" i="22"/>
  <c r="S44" i="22"/>
  <c r="T43" i="22"/>
  <c r="S43" i="22"/>
  <c r="T40" i="22"/>
  <c r="S40" i="22"/>
  <c r="T38" i="22"/>
  <c r="S38" i="22"/>
  <c r="T37" i="22"/>
  <c r="S37" i="22"/>
  <c r="T36" i="22"/>
  <c r="S36" i="22"/>
  <c r="T35" i="22"/>
  <c r="S35" i="22"/>
  <c r="T34" i="22"/>
  <c r="S34" i="22"/>
  <c r="T33" i="22"/>
  <c r="S33" i="22"/>
  <c r="T29" i="22"/>
  <c r="S29" i="22"/>
  <c r="T28" i="22"/>
  <c r="S28" i="22"/>
  <c r="T21" i="22"/>
  <c r="S21" i="22"/>
  <c r="T19" i="22"/>
  <c r="S19" i="22"/>
  <c r="T14" i="22"/>
  <c r="S14" i="22"/>
  <c r="T12" i="22"/>
  <c r="S12" i="22"/>
  <c r="T11" i="22"/>
  <c r="S11" i="22"/>
  <c r="T9" i="22"/>
  <c r="S9" i="22"/>
  <c r="T8" i="22"/>
  <c r="S8" i="22"/>
  <c r="T7" i="22"/>
  <c r="S7" i="22"/>
  <c r="I129" i="4"/>
  <c r="H129" i="4"/>
  <c r="I128" i="4"/>
  <c r="H128" i="4"/>
  <c r="I126" i="4"/>
  <c r="H126" i="4"/>
  <c r="I124" i="4"/>
  <c r="H124" i="4"/>
  <c r="I121" i="4"/>
  <c r="H121" i="4"/>
  <c r="I120" i="4"/>
  <c r="H120" i="4"/>
  <c r="I119" i="4"/>
  <c r="H119" i="4"/>
  <c r="I118" i="4"/>
  <c r="H118" i="4"/>
  <c r="I112" i="4"/>
  <c r="H112" i="4"/>
  <c r="I111" i="4"/>
  <c r="H111" i="4"/>
  <c r="I109" i="4"/>
  <c r="H109" i="4"/>
  <c r="I107" i="4"/>
  <c r="H107" i="4"/>
  <c r="I106" i="4"/>
  <c r="H106" i="4"/>
  <c r="I105" i="4"/>
  <c r="H105" i="4"/>
  <c r="I104" i="4"/>
  <c r="H104" i="4"/>
  <c r="I103" i="4"/>
  <c r="H103" i="4"/>
  <c r="I102" i="4"/>
  <c r="H102" i="4"/>
  <c r="I101" i="4"/>
  <c r="H101" i="4"/>
  <c r="I100" i="4"/>
  <c r="H100" i="4"/>
  <c r="I99" i="4"/>
  <c r="H99" i="4"/>
  <c r="I98" i="4"/>
  <c r="H98" i="4"/>
  <c r="I97" i="4"/>
  <c r="H97" i="4"/>
  <c r="I96" i="4"/>
  <c r="H96" i="4"/>
  <c r="I95" i="4"/>
  <c r="H95" i="4"/>
  <c r="I94" i="4"/>
  <c r="H94" i="4"/>
  <c r="I93" i="4"/>
  <c r="H93" i="4"/>
  <c r="I89" i="4"/>
  <c r="H89" i="4"/>
  <c r="I88" i="4"/>
  <c r="H88" i="4"/>
  <c r="I87" i="4"/>
  <c r="H87" i="4"/>
  <c r="I86" i="4"/>
  <c r="H86" i="4"/>
  <c r="I85" i="4"/>
  <c r="H85" i="4"/>
  <c r="I84" i="4"/>
  <c r="H84" i="4"/>
  <c r="I83" i="4"/>
  <c r="H83" i="4"/>
  <c r="I82" i="4"/>
  <c r="H82" i="4"/>
  <c r="I81" i="4"/>
  <c r="H81" i="4"/>
  <c r="I80" i="4"/>
  <c r="H80" i="4"/>
  <c r="I78" i="4"/>
  <c r="H78" i="4"/>
  <c r="I71" i="4"/>
  <c r="H71" i="4"/>
  <c r="I70" i="4"/>
  <c r="H70" i="4"/>
  <c r="I68" i="4"/>
  <c r="H68" i="4"/>
  <c r="I67" i="4"/>
  <c r="H67" i="4"/>
  <c r="I66" i="4"/>
  <c r="H66" i="4"/>
  <c r="I63" i="4"/>
  <c r="H63" i="4"/>
  <c r="I62" i="4"/>
  <c r="H62" i="4"/>
  <c r="I61" i="4"/>
  <c r="H61" i="4"/>
  <c r="I60" i="4"/>
  <c r="H60" i="4"/>
  <c r="I56" i="4"/>
  <c r="H56" i="4"/>
  <c r="I54" i="4"/>
  <c r="H54" i="4"/>
  <c r="I53" i="4"/>
  <c r="H53" i="4"/>
  <c r="I52" i="4"/>
  <c r="H52" i="4"/>
  <c r="I50" i="4"/>
  <c r="H50" i="4"/>
  <c r="I44" i="4"/>
  <c r="H44" i="4"/>
  <c r="I43" i="4"/>
  <c r="H43" i="4"/>
  <c r="I40" i="4"/>
  <c r="H40" i="4"/>
  <c r="I38" i="4"/>
  <c r="H38" i="4"/>
  <c r="I37" i="4"/>
  <c r="H37" i="4"/>
  <c r="I36" i="4"/>
  <c r="H36" i="4"/>
  <c r="I35" i="4"/>
  <c r="H35" i="4"/>
  <c r="I34" i="4"/>
  <c r="H34" i="4"/>
  <c r="I33" i="4"/>
  <c r="H33" i="4"/>
  <c r="I29" i="4"/>
  <c r="H29" i="4"/>
  <c r="I28" i="4"/>
  <c r="H28" i="4"/>
  <c r="I21" i="4"/>
  <c r="H21" i="4"/>
  <c r="I19" i="4"/>
  <c r="H19" i="4"/>
  <c r="I14" i="4"/>
  <c r="H14" i="4"/>
  <c r="I12" i="4"/>
  <c r="H12" i="4"/>
  <c r="I11" i="4"/>
  <c r="H11" i="4"/>
  <c r="I9" i="4"/>
  <c r="H9" i="4"/>
  <c r="I8" i="4"/>
  <c r="H8" i="4"/>
  <c r="I7" i="4"/>
  <c r="H7" i="4"/>
  <c r="D99" i="4"/>
  <c r="D46" i="4"/>
  <c r="D23" i="4"/>
  <c r="I3" i="4"/>
  <c r="D3" i="4"/>
  <c r="G97" i="6"/>
  <c r="G96" i="6"/>
  <c r="G95" i="6"/>
  <c r="G94" i="6"/>
  <c r="G93" i="6"/>
  <c r="G92" i="6"/>
  <c r="H92" i="6" s="1"/>
  <c r="B130" i="20"/>
  <c r="E52" i="1"/>
  <c r="O92" i="18"/>
  <c r="O40" i="18"/>
  <c r="N40" i="18" s="1"/>
  <c r="G30" i="23" l="1"/>
  <c r="T129" i="19" l="1"/>
  <c r="T128" i="19"/>
  <c r="T127" i="19"/>
  <c r="T126" i="19"/>
  <c r="T125" i="19"/>
  <c r="T124" i="19"/>
  <c r="T123" i="19"/>
  <c r="T122" i="19"/>
  <c r="T121" i="19"/>
  <c r="T120" i="19"/>
  <c r="T119" i="19"/>
  <c r="T118" i="19"/>
  <c r="T117" i="19"/>
  <c r="T116" i="19"/>
  <c r="T115" i="19"/>
  <c r="T114" i="19"/>
  <c r="T113" i="19"/>
  <c r="T112" i="19"/>
  <c r="T111" i="19"/>
  <c r="T110" i="19"/>
  <c r="T109" i="19"/>
  <c r="T108" i="19"/>
  <c r="T107" i="19"/>
  <c r="T106" i="19"/>
  <c r="T105" i="19"/>
  <c r="T104" i="19"/>
  <c r="T103" i="19"/>
  <c r="T102" i="19"/>
  <c r="T101" i="19"/>
  <c r="T100" i="19"/>
  <c r="T99" i="19"/>
  <c r="T98" i="19"/>
  <c r="T97" i="19"/>
  <c r="T96" i="19"/>
  <c r="T95" i="19"/>
  <c r="T94" i="19"/>
  <c r="T93" i="19"/>
  <c r="T92" i="19"/>
  <c r="T91" i="19"/>
  <c r="T90" i="19"/>
  <c r="T89" i="19"/>
  <c r="T88" i="19"/>
  <c r="T87" i="19"/>
  <c r="T86" i="19"/>
  <c r="T85" i="19"/>
  <c r="T84" i="19"/>
  <c r="T83" i="19"/>
  <c r="T82" i="19"/>
  <c r="T81" i="19"/>
  <c r="T80" i="19"/>
  <c r="T79" i="19"/>
  <c r="T78" i="19"/>
  <c r="T77" i="19"/>
  <c r="T76" i="19"/>
  <c r="T75" i="19"/>
  <c r="T74" i="19"/>
  <c r="T73" i="19"/>
  <c r="T72" i="19"/>
  <c r="T71" i="19"/>
  <c r="T70" i="19"/>
  <c r="T69" i="19"/>
  <c r="T68" i="19"/>
  <c r="T67" i="19"/>
  <c r="T66" i="19"/>
  <c r="T65" i="19"/>
  <c r="T64" i="19"/>
  <c r="T63" i="19"/>
  <c r="T62" i="19"/>
  <c r="T61" i="19"/>
  <c r="T60" i="19"/>
  <c r="T59" i="19"/>
  <c r="T58" i="19"/>
  <c r="T57" i="19"/>
  <c r="T56" i="19"/>
  <c r="T55" i="19"/>
  <c r="T54" i="19"/>
  <c r="T53" i="19"/>
  <c r="T52" i="19"/>
  <c r="T51" i="19"/>
  <c r="T50" i="19"/>
  <c r="T49" i="19"/>
  <c r="T48" i="19"/>
  <c r="T47" i="19"/>
  <c r="T46" i="19"/>
  <c r="T45" i="19"/>
  <c r="T44" i="19"/>
  <c r="T43" i="19"/>
  <c r="T42" i="19"/>
  <c r="T41" i="19"/>
  <c r="T40" i="19"/>
  <c r="T39" i="19"/>
  <c r="T38" i="19"/>
  <c r="T37" i="19"/>
  <c r="T36" i="19"/>
  <c r="T35" i="19"/>
  <c r="T34" i="19"/>
  <c r="T33" i="19"/>
  <c r="T32" i="19"/>
  <c r="T31" i="19"/>
  <c r="T30" i="19"/>
  <c r="T29" i="19"/>
  <c r="T28" i="19"/>
  <c r="T27" i="19"/>
  <c r="T26" i="19"/>
  <c r="T25" i="19"/>
  <c r="T24" i="19"/>
  <c r="T23" i="19"/>
  <c r="T22" i="19"/>
  <c r="T21" i="19"/>
  <c r="T20" i="19"/>
  <c r="T19" i="19"/>
  <c r="T18" i="19"/>
  <c r="T17" i="19"/>
  <c r="T16" i="19"/>
  <c r="T15" i="19"/>
  <c r="T14" i="19"/>
  <c r="T13" i="19"/>
  <c r="T12" i="19"/>
  <c r="T11" i="19"/>
  <c r="T10" i="19"/>
  <c r="T9" i="19"/>
  <c r="D7" i="27" l="1"/>
  <c r="D18" i="25" l="1"/>
  <c r="B18" i="25"/>
  <c r="M92" i="22" l="1"/>
  <c r="R92" i="22" s="1"/>
  <c r="H92" i="22"/>
  <c r="G92" i="22" s="1"/>
  <c r="F92" i="22"/>
  <c r="E92" i="22"/>
  <c r="C92" i="22"/>
  <c r="E92" i="20"/>
  <c r="D93" i="20"/>
  <c r="D94" i="20"/>
  <c r="E95" i="20"/>
  <c r="D97" i="20"/>
  <c r="E91" i="20"/>
  <c r="E96" i="20"/>
  <c r="E98" i="20"/>
  <c r="R92" i="4"/>
  <c r="N92" i="4"/>
  <c r="S92" i="4" s="1"/>
  <c r="AD92" i="22" l="1"/>
  <c r="AC92" i="22"/>
  <c r="AB92" i="22"/>
  <c r="P92" i="22"/>
  <c r="J92" i="22"/>
  <c r="O92" i="22"/>
  <c r="AE92" i="22"/>
  <c r="E92" i="4"/>
  <c r="E94" i="20"/>
  <c r="E97" i="20"/>
  <c r="E93" i="20"/>
  <c r="D92" i="20"/>
  <c r="F92" i="20" s="1"/>
  <c r="G92" i="20" s="1"/>
  <c r="H92" i="20" s="1"/>
  <c r="I92" i="20" s="1"/>
  <c r="D98" i="20"/>
  <c r="F98" i="20" s="1"/>
  <c r="G98" i="20" s="1"/>
  <c r="H98" i="20" s="1"/>
  <c r="I98" i="20" s="1"/>
  <c r="F94" i="20"/>
  <c r="G94" i="20" s="1"/>
  <c r="H94" i="20" s="1"/>
  <c r="I94" i="20" s="1"/>
  <c r="F97" i="20"/>
  <c r="G97" i="20" s="1"/>
  <c r="H97" i="20" s="1"/>
  <c r="I97" i="20" s="1"/>
  <c r="F93" i="20"/>
  <c r="G93" i="20" s="1"/>
  <c r="H93" i="20" s="1"/>
  <c r="I93" i="20" s="1"/>
  <c r="D96" i="20"/>
  <c r="F96" i="20" s="1"/>
  <c r="G96" i="20" s="1"/>
  <c r="H96" i="20" s="1"/>
  <c r="I96" i="20" s="1"/>
  <c r="D95" i="20"/>
  <c r="F95" i="20" s="1"/>
  <c r="G95" i="20" s="1"/>
  <c r="H95" i="20" s="1"/>
  <c r="I95" i="20" s="1"/>
  <c r="D91" i="20"/>
  <c r="F91" i="20" s="1"/>
  <c r="G91" i="20" s="1"/>
  <c r="H91" i="20" s="1"/>
  <c r="I91" i="20" s="1"/>
  <c r="C92" i="6" l="1"/>
  <c r="J92" i="6" s="1"/>
  <c r="B91" i="6"/>
  <c r="AC92" i="19"/>
  <c r="B92" i="6" s="1"/>
  <c r="F92" i="6" s="1"/>
  <c r="I92" i="6" l="1"/>
  <c r="C91" i="22"/>
  <c r="F95" i="22" l="1"/>
  <c r="E95" i="22"/>
  <c r="E94" i="22"/>
  <c r="F94" i="22"/>
  <c r="F93" i="22"/>
  <c r="E93" i="22"/>
  <c r="F96" i="22"/>
  <c r="E96" i="22"/>
  <c r="H91" i="22"/>
  <c r="G91" i="22" s="1"/>
  <c r="F91" i="22"/>
  <c r="E91" i="22"/>
  <c r="F97" i="22"/>
  <c r="E97" i="22"/>
  <c r="O97" i="22" l="1"/>
  <c r="P97" i="22"/>
  <c r="P96" i="22"/>
  <c r="O96" i="22"/>
  <c r="P93" i="22"/>
  <c r="O93" i="22"/>
  <c r="AE91" i="22"/>
  <c r="O91" i="22"/>
  <c r="AB91" i="22"/>
  <c r="J91" i="22"/>
  <c r="I91" i="22"/>
  <c r="P91" i="22"/>
  <c r="AD91" i="22"/>
  <c r="AC91" i="22"/>
  <c r="O94" i="22"/>
  <c r="P94" i="22"/>
  <c r="P95" i="22"/>
  <c r="O95" i="22"/>
  <c r="N91" i="4"/>
  <c r="S91" i="4" s="1"/>
  <c r="R91" i="4" l="1"/>
  <c r="C18" i="25" l="1"/>
  <c r="E18" i="25"/>
  <c r="F18" i="25" l="1"/>
  <c r="H18" i="25" s="1"/>
  <c r="D127" i="18" l="1"/>
  <c r="E127" i="18"/>
  <c r="U29" i="17"/>
  <c r="U21" i="17"/>
  <c r="U20" i="17"/>
  <c r="N92" i="22" l="1"/>
  <c r="N91" i="22"/>
  <c r="U26" i="17"/>
  <c r="U19" i="17"/>
  <c r="U13" i="17"/>
  <c r="M91" i="22" l="1"/>
  <c r="R91" i="22" s="1"/>
  <c r="C93" i="6"/>
  <c r="C94" i="6"/>
  <c r="C95" i="6"/>
  <c r="C96" i="6"/>
  <c r="C97" i="6"/>
  <c r="AC93" i="19"/>
  <c r="B93" i="6" s="1"/>
  <c r="AC94" i="19"/>
  <c r="AC95" i="19"/>
  <c r="AC96" i="19"/>
  <c r="AC97" i="19"/>
  <c r="E91" i="4" l="1"/>
  <c r="G31" i="23"/>
  <c r="H31" i="23" s="1"/>
  <c r="G32" i="23"/>
  <c r="H32" i="23" s="1"/>
  <c r="G33" i="23"/>
  <c r="H33" i="23" s="1"/>
  <c r="H30" i="23"/>
  <c r="H34" i="23" l="1"/>
  <c r="R93" i="4"/>
  <c r="R94" i="4"/>
  <c r="R95" i="4"/>
  <c r="R96" i="4"/>
  <c r="C10" i="25" l="1"/>
  <c r="R97" i="4"/>
  <c r="F93" i="6" l="1"/>
  <c r="B94" i="6"/>
  <c r="F94" i="6" s="1"/>
  <c r="B95" i="6"/>
  <c r="F95" i="6" s="1"/>
  <c r="B96" i="6"/>
  <c r="F96" i="6" s="1"/>
  <c r="B97" i="6"/>
  <c r="F97" i="6" s="1"/>
  <c r="C93" i="22"/>
  <c r="C94" i="22"/>
  <c r="C95" i="22"/>
  <c r="C96" i="22"/>
  <c r="C97" i="22"/>
  <c r="H94" i="22"/>
  <c r="AE95" i="22" l="1"/>
  <c r="AC95" i="22"/>
  <c r="AD95" i="22"/>
  <c r="J95" i="22"/>
  <c r="AB95" i="22"/>
  <c r="I95" i="22"/>
  <c r="AE94" i="22"/>
  <c r="AB94" i="22"/>
  <c r="AD94" i="22"/>
  <c r="AC94" i="22"/>
  <c r="J94" i="22"/>
  <c r="I94" i="22"/>
  <c r="AE97" i="22"/>
  <c r="AD97" i="22"/>
  <c r="AB97" i="22"/>
  <c r="J97" i="22"/>
  <c r="I97" i="22"/>
  <c r="AC97" i="22"/>
  <c r="AE93" i="22"/>
  <c r="AB93" i="22"/>
  <c r="J93" i="22"/>
  <c r="I93" i="22"/>
  <c r="AC93" i="22"/>
  <c r="AD93" i="22"/>
  <c r="AE96" i="22"/>
  <c r="AD96" i="22"/>
  <c r="J96" i="22"/>
  <c r="I96" i="22"/>
  <c r="AC96" i="22"/>
  <c r="AB96" i="22"/>
  <c r="N96" i="4"/>
  <c r="S96" i="4" s="1"/>
  <c r="N95" i="4"/>
  <c r="S95" i="4" s="1"/>
  <c r="N94" i="4"/>
  <c r="S94" i="4" s="1"/>
  <c r="N97" i="4"/>
  <c r="S97" i="4" s="1"/>
  <c r="N93" i="4"/>
  <c r="S93" i="4" s="1"/>
  <c r="H97" i="22"/>
  <c r="G97" i="22" s="1"/>
  <c r="H93" i="22"/>
  <c r="G93" i="22" s="1"/>
  <c r="H96" i="22"/>
  <c r="G96" i="22" s="1"/>
  <c r="G94" i="22"/>
  <c r="H95" i="22"/>
  <c r="G95" i="22" s="1"/>
  <c r="N97" i="22" l="1"/>
  <c r="M97" i="22"/>
  <c r="R97" i="22" s="1"/>
  <c r="M95" i="22"/>
  <c r="R95" i="22" s="1"/>
  <c r="N95" i="22"/>
  <c r="M96" i="22"/>
  <c r="R96" i="22" s="1"/>
  <c r="N96" i="22"/>
  <c r="N93" i="22"/>
  <c r="M93" i="22"/>
  <c r="R93" i="22" s="1"/>
  <c r="N94" i="22"/>
  <c r="M94" i="22"/>
  <c r="R94" i="22" s="1"/>
  <c r="E95" i="4" l="1"/>
  <c r="E93" i="4"/>
  <c r="E96" i="4"/>
  <c r="E97" i="4"/>
  <c r="E94" i="4"/>
  <c r="J93" i="4" l="1"/>
  <c r="J94" i="4"/>
  <c r="J97" i="4"/>
  <c r="J28" i="4"/>
  <c r="J29" i="4"/>
  <c r="J33" i="4"/>
  <c r="J34" i="4"/>
  <c r="J35" i="4"/>
  <c r="J36" i="4"/>
  <c r="J37" i="4"/>
  <c r="J40" i="4"/>
  <c r="J43" i="4"/>
  <c r="J44" i="4"/>
  <c r="J50" i="4"/>
  <c r="J52" i="4"/>
  <c r="J53" i="4"/>
  <c r="J54" i="4"/>
  <c r="J56" i="4"/>
  <c r="J60" i="4"/>
  <c r="J61" i="4"/>
  <c r="J62" i="4"/>
  <c r="J63" i="4"/>
  <c r="J66" i="4"/>
  <c r="J67" i="4"/>
  <c r="J70" i="4"/>
  <c r="J71" i="4"/>
  <c r="J78" i="4"/>
  <c r="J80" i="4"/>
  <c r="J81" i="4"/>
  <c r="J82" i="4"/>
  <c r="J83" i="4"/>
  <c r="J84" i="4"/>
  <c r="J85" i="4"/>
  <c r="J86" i="4"/>
  <c r="J87" i="4"/>
  <c r="J88" i="4"/>
  <c r="J89" i="4"/>
  <c r="J98" i="4"/>
  <c r="J95" i="4"/>
  <c r="J96" i="4"/>
  <c r="J99" i="4"/>
  <c r="J100" i="4"/>
  <c r="J101" i="4"/>
  <c r="J102" i="4"/>
  <c r="J103" i="4"/>
  <c r="J104" i="4"/>
  <c r="J105" i="4"/>
  <c r="J106" i="4"/>
  <c r="J107" i="4"/>
  <c r="J109" i="4"/>
  <c r="J111" i="4"/>
  <c r="J112" i="4"/>
  <c r="J118" i="4"/>
  <c r="J119" i="4"/>
  <c r="J120" i="4"/>
  <c r="J121" i="4"/>
  <c r="J124" i="4"/>
  <c r="J126" i="4"/>
  <c r="J128" i="4"/>
  <c r="J129" i="4"/>
  <c r="J8" i="4"/>
  <c r="J9" i="4"/>
  <c r="J11" i="4"/>
  <c r="J12" i="4"/>
  <c r="J14" i="4"/>
  <c r="J19" i="4"/>
  <c r="J21" i="4"/>
  <c r="J7" i="4"/>
  <c r="L29" i="19" l="1"/>
  <c r="M29" i="19" s="1"/>
  <c r="N29" i="19" s="1"/>
  <c r="S66" i="17" l="1"/>
  <c r="T66" i="17" s="1"/>
  <c r="S63" i="17"/>
  <c r="T63" i="17" s="1"/>
  <c r="U28" i="17"/>
  <c r="S65" i="17" s="1"/>
  <c r="T65" i="17" s="1"/>
  <c r="U27" i="17"/>
  <c r="S64" i="17" l="1"/>
  <c r="T64" i="17" s="1"/>
  <c r="AB66" i="17"/>
  <c r="AA66" i="17"/>
  <c r="AB65" i="17"/>
  <c r="AA65" i="17"/>
  <c r="AB64" i="17"/>
  <c r="AA64" i="17"/>
  <c r="AB63" i="17"/>
  <c r="AA63" i="17"/>
  <c r="K66" i="17"/>
  <c r="K65" i="17"/>
  <c r="K64" i="17"/>
  <c r="K63" i="17"/>
  <c r="K58" i="17" l="1"/>
  <c r="AA58" i="17"/>
  <c r="AB58" i="17"/>
  <c r="T29" i="17" l="1"/>
  <c r="T28" i="17"/>
  <c r="T27" i="17"/>
  <c r="T26" i="17"/>
  <c r="I36" i="17"/>
  <c r="K36" i="17" s="1"/>
  <c r="I35" i="17"/>
  <c r="K35" i="17" s="1"/>
  <c r="I34" i="17"/>
  <c r="K34" i="17" s="1"/>
  <c r="I33" i="17"/>
  <c r="K33" i="17" s="1"/>
  <c r="B30" i="27" l="1"/>
  <c r="I127" i="4" s="1"/>
  <c r="W28" i="17"/>
  <c r="W26" i="17"/>
  <c r="W29" i="17"/>
  <c r="V28" i="17"/>
  <c r="V26" i="17"/>
  <c r="V29" i="17"/>
  <c r="J34" i="17"/>
  <c r="J35" i="17"/>
  <c r="J33" i="17"/>
  <c r="J36" i="17"/>
  <c r="C10" i="27" l="1"/>
  <c r="T16" i="22"/>
  <c r="T18" i="22"/>
  <c r="T39" i="22"/>
  <c r="I79" i="4"/>
  <c r="T20" i="22"/>
  <c r="T79" i="22"/>
  <c r="T41" i="22"/>
  <c r="T17" i="22"/>
  <c r="I39" i="4"/>
  <c r="I55" i="4"/>
  <c r="I41" i="4"/>
  <c r="I18" i="4"/>
  <c r="I17" i="4"/>
  <c r="I16" i="4"/>
  <c r="I20" i="4"/>
  <c r="L113" i="19"/>
  <c r="M113" i="19" s="1"/>
  <c r="L114" i="19"/>
  <c r="M114" i="19" s="1"/>
  <c r="L115" i="19"/>
  <c r="M115" i="19" s="1"/>
  <c r="L116" i="19"/>
  <c r="M116" i="19" s="1"/>
  <c r="L117" i="19"/>
  <c r="M117" i="19" s="1"/>
  <c r="L118" i="19"/>
  <c r="M118" i="19" s="1"/>
  <c r="L119" i="19"/>
  <c r="M119" i="19" s="1"/>
  <c r="L120" i="19"/>
  <c r="M120" i="19" s="1"/>
  <c r="L121" i="19"/>
  <c r="M121" i="19" s="1"/>
  <c r="L122" i="19"/>
  <c r="M122" i="19" s="1"/>
  <c r="L123" i="19"/>
  <c r="M123" i="19" s="1"/>
  <c r="L124" i="19"/>
  <c r="M124" i="19" s="1"/>
  <c r="L125" i="19"/>
  <c r="M125" i="19" s="1"/>
  <c r="L126" i="19"/>
  <c r="M126" i="19" s="1"/>
  <c r="L127" i="19"/>
  <c r="M127" i="19" s="1"/>
  <c r="L128" i="19"/>
  <c r="M128" i="19" s="1"/>
  <c r="L129" i="19"/>
  <c r="M129" i="19" s="1"/>
  <c r="L8" i="19"/>
  <c r="M8" i="19" s="1"/>
  <c r="L9" i="19"/>
  <c r="M9" i="19" s="1"/>
  <c r="L10" i="19"/>
  <c r="M10" i="19" s="1"/>
  <c r="N40" i="4" l="1"/>
  <c r="S40" i="4" s="1"/>
  <c r="F99" i="22" l="1"/>
  <c r="E99" i="22"/>
  <c r="AC129" i="19"/>
  <c r="U129" i="19"/>
  <c r="N129" i="19"/>
  <c r="U128" i="19"/>
  <c r="U127" i="19"/>
  <c r="U126" i="19"/>
  <c r="AC126" i="19"/>
  <c r="B126" i="6" s="1"/>
  <c r="F126" i="6" s="1"/>
  <c r="G126" i="6" s="1"/>
  <c r="U125" i="19"/>
  <c r="U124" i="19"/>
  <c r="AC124" i="19"/>
  <c r="B124" i="6" s="1"/>
  <c r="U123" i="19"/>
  <c r="U122" i="19"/>
  <c r="AC122" i="19"/>
  <c r="B122" i="6" s="1"/>
  <c r="F122" i="6" s="1"/>
  <c r="G122" i="6" s="1"/>
  <c r="U121" i="19"/>
  <c r="U120" i="19"/>
  <c r="AC120" i="19"/>
  <c r="B120" i="6" s="1"/>
  <c r="U119" i="19"/>
  <c r="U118" i="19"/>
  <c r="AC118" i="19"/>
  <c r="B118" i="6" s="1"/>
  <c r="F118" i="6" s="1"/>
  <c r="G118" i="6" s="1"/>
  <c r="U117" i="19"/>
  <c r="U116" i="19"/>
  <c r="AC116" i="19"/>
  <c r="B116" i="6" s="1"/>
  <c r="U115" i="19"/>
  <c r="AC114" i="19"/>
  <c r="U113" i="19"/>
  <c r="U112" i="19"/>
  <c r="L112" i="19"/>
  <c r="M112" i="19" s="1"/>
  <c r="U111" i="19"/>
  <c r="M111" i="19"/>
  <c r="U110" i="19"/>
  <c r="L110" i="19"/>
  <c r="M110" i="19" s="1"/>
  <c r="U109" i="19"/>
  <c r="L109" i="19"/>
  <c r="M109" i="19" s="1"/>
  <c r="U108" i="19"/>
  <c r="L108" i="19"/>
  <c r="M108" i="19" s="1"/>
  <c r="U107" i="19"/>
  <c r="L107" i="19"/>
  <c r="M107" i="19" s="1"/>
  <c r="U106" i="19"/>
  <c r="L106" i="19"/>
  <c r="M106" i="19" s="1"/>
  <c r="AC106" i="19" s="1"/>
  <c r="B106" i="6" s="1"/>
  <c r="F106" i="6" s="1"/>
  <c r="G106" i="6" s="1"/>
  <c r="U105" i="19"/>
  <c r="L105" i="19"/>
  <c r="M105" i="19" s="1"/>
  <c r="N105" i="19" s="1"/>
  <c r="U104" i="19"/>
  <c r="R104" i="19"/>
  <c r="L104" i="19"/>
  <c r="M104" i="19" s="1"/>
  <c r="U103" i="19"/>
  <c r="L103" i="19"/>
  <c r="M103" i="19" s="1"/>
  <c r="U102" i="19"/>
  <c r="L102" i="19"/>
  <c r="M102" i="19" s="1"/>
  <c r="AC102" i="19" s="1"/>
  <c r="B102" i="6" s="1"/>
  <c r="F102" i="6" s="1"/>
  <c r="G102" i="6" s="1"/>
  <c r="U101" i="19"/>
  <c r="L101" i="19"/>
  <c r="M101" i="19" s="1"/>
  <c r="U100" i="19"/>
  <c r="L100" i="19"/>
  <c r="M100" i="19" s="1"/>
  <c r="U99" i="19"/>
  <c r="L99" i="19"/>
  <c r="M99" i="19" s="1"/>
  <c r="AC99" i="19" s="1"/>
  <c r="AC98" i="19"/>
  <c r="U90" i="19"/>
  <c r="L90" i="19"/>
  <c r="M90" i="19" s="1"/>
  <c r="U89" i="19"/>
  <c r="L89" i="19"/>
  <c r="M89" i="19" s="1"/>
  <c r="U88" i="19"/>
  <c r="L88" i="19"/>
  <c r="M88" i="19" s="1"/>
  <c r="N88" i="19" s="1"/>
  <c r="U87" i="19"/>
  <c r="L87" i="19"/>
  <c r="M87" i="19" s="1"/>
  <c r="U86" i="19"/>
  <c r="L86" i="19"/>
  <c r="M86" i="19" s="1"/>
  <c r="N86" i="19" s="1"/>
  <c r="U84" i="19"/>
  <c r="L84" i="19"/>
  <c r="M84" i="19" s="1"/>
  <c r="AC83" i="19"/>
  <c r="U82" i="19"/>
  <c r="L82" i="19"/>
  <c r="M82" i="19" s="1"/>
  <c r="AC82" i="19" s="1"/>
  <c r="B82" i="6" s="1"/>
  <c r="U81" i="19"/>
  <c r="L81" i="19"/>
  <c r="M81" i="19" s="1"/>
  <c r="U80" i="19"/>
  <c r="L80" i="19"/>
  <c r="M80" i="19" s="1"/>
  <c r="U79" i="19"/>
  <c r="L79" i="19"/>
  <c r="M79" i="19" s="1"/>
  <c r="N79" i="19" s="1"/>
  <c r="U78" i="19"/>
  <c r="L78" i="19"/>
  <c r="M78" i="19" s="1"/>
  <c r="U77" i="19"/>
  <c r="L77" i="19"/>
  <c r="M77" i="19" s="1"/>
  <c r="U76" i="19"/>
  <c r="L76" i="19"/>
  <c r="M76" i="19" s="1"/>
  <c r="U75" i="19"/>
  <c r="L75" i="19"/>
  <c r="M75" i="19" s="1"/>
  <c r="AC74" i="19"/>
  <c r="B74" i="6" s="1"/>
  <c r="U74" i="19"/>
  <c r="N74" i="19"/>
  <c r="L74" i="19"/>
  <c r="U73" i="19"/>
  <c r="L73" i="19"/>
  <c r="M73" i="19" s="1"/>
  <c r="L72" i="19"/>
  <c r="M72" i="19" s="1"/>
  <c r="U70" i="19"/>
  <c r="L70" i="19"/>
  <c r="M70" i="19" s="1"/>
  <c r="AC70" i="19" s="1"/>
  <c r="B70" i="6" s="1"/>
  <c r="U69" i="19"/>
  <c r="L69" i="19"/>
  <c r="M69" i="19" s="1"/>
  <c r="U68" i="19"/>
  <c r="L68" i="19"/>
  <c r="M68" i="19" s="1"/>
  <c r="U67" i="19"/>
  <c r="L67" i="19"/>
  <c r="M67" i="19" s="1"/>
  <c r="N67" i="19" s="1"/>
  <c r="U66" i="19"/>
  <c r="L66" i="19"/>
  <c r="M66" i="19" s="1"/>
  <c r="U65" i="19"/>
  <c r="L65" i="19"/>
  <c r="M65" i="19" s="1"/>
  <c r="U64" i="19"/>
  <c r="L64" i="19"/>
  <c r="M64" i="19" s="1"/>
  <c r="U63" i="19"/>
  <c r="L63" i="19"/>
  <c r="M63" i="19" s="1"/>
  <c r="U62" i="19"/>
  <c r="L62" i="19"/>
  <c r="M62" i="19" s="1"/>
  <c r="U61" i="19"/>
  <c r="L61" i="19"/>
  <c r="M61" i="19" s="1"/>
  <c r="AC61" i="19" s="1"/>
  <c r="B61" i="6" s="1"/>
  <c r="U60" i="19"/>
  <c r="L60" i="19"/>
  <c r="M60" i="19" s="1"/>
  <c r="U59" i="19"/>
  <c r="L59" i="19"/>
  <c r="M59" i="19" s="1"/>
  <c r="U58" i="19"/>
  <c r="L58" i="19"/>
  <c r="M58" i="19" s="1"/>
  <c r="N58" i="19" s="1"/>
  <c r="U57" i="19"/>
  <c r="L57" i="19"/>
  <c r="M57" i="19" s="1"/>
  <c r="U56" i="19"/>
  <c r="L56" i="19"/>
  <c r="M56" i="19" s="1"/>
  <c r="N56" i="19" s="1"/>
  <c r="U55" i="19"/>
  <c r="L55" i="19"/>
  <c r="M55" i="19" s="1"/>
  <c r="U54" i="19"/>
  <c r="M54" i="19"/>
  <c r="N54" i="19" s="1"/>
  <c r="L54" i="19"/>
  <c r="L53" i="19"/>
  <c r="M53" i="19" s="1"/>
  <c r="N53" i="19" s="1"/>
  <c r="U52" i="19"/>
  <c r="L52" i="19"/>
  <c r="M52" i="19" s="1"/>
  <c r="U51" i="19"/>
  <c r="L51" i="19"/>
  <c r="M51" i="19" s="1"/>
  <c r="N51" i="19" s="1"/>
  <c r="L50" i="19"/>
  <c r="M50" i="19" s="1"/>
  <c r="N50" i="19" s="1"/>
  <c r="U49" i="19"/>
  <c r="L49" i="19"/>
  <c r="M49" i="19" s="1"/>
  <c r="U48" i="19"/>
  <c r="L48" i="19"/>
  <c r="M48" i="19" s="1"/>
  <c r="N48" i="19" s="1"/>
  <c r="U47" i="19"/>
  <c r="L47" i="19"/>
  <c r="M47" i="19" s="1"/>
  <c r="U46" i="19"/>
  <c r="L46" i="19"/>
  <c r="M46" i="19" s="1"/>
  <c r="N46" i="19" s="1"/>
  <c r="U45" i="19"/>
  <c r="L45" i="19"/>
  <c r="M45" i="19" s="1"/>
  <c r="U44" i="19"/>
  <c r="L44" i="19"/>
  <c r="M44" i="19" s="1"/>
  <c r="N44" i="19" s="1"/>
  <c r="U43" i="19"/>
  <c r="L43" i="19"/>
  <c r="M43" i="19" s="1"/>
  <c r="U42" i="19"/>
  <c r="L42" i="19"/>
  <c r="M42" i="19" s="1"/>
  <c r="N42" i="19" s="1"/>
  <c r="U41" i="19"/>
  <c r="L41" i="19"/>
  <c r="M41" i="19" s="1"/>
  <c r="U40" i="19"/>
  <c r="L40" i="19"/>
  <c r="M40" i="19" s="1"/>
  <c r="AC40" i="19" s="1"/>
  <c r="U39" i="19"/>
  <c r="L39" i="19"/>
  <c r="M39" i="19" s="1"/>
  <c r="U38" i="19"/>
  <c r="L38" i="19"/>
  <c r="M38" i="19" s="1"/>
  <c r="U37" i="19"/>
  <c r="L37" i="19"/>
  <c r="M37" i="19" s="1"/>
  <c r="AC37" i="19" s="1"/>
  <c r="AC36" i="19"/>
  <c r="U35" i="19"/>
  <c r="L35" i="19"/>
  <c r="M35" i="19" s="1"/>
  <c r="N35" i="19" s="1"/>
  <c r="U34" i="19"/>
  <c r="L34" i="19"/>
  <c r="M34" i="19" s="1"/>
  <c r="U33" i="19"/>
  <c r="L33" i="19"/>
  <c r="M33" i="19" s="1"/>
  <c r="N33" i="19" s="1"/>
  <c r="U32" i="19"/>
  <c r="L32" i="19"/>
  <c r="M32" i="19" s="1"/>
  <c r="U31" i="19"/>
  <c r="L31" i="19"/>
  <c r="M31" i="19" s="1"/>
  <c r="U30" i="19"/>
  <c r="L30" i="19"/>
  <c r="M30" i="19" s="1"/>
  <c r="U29" i="19"/>
  <c r="U28" i="19"/>
  <c r="L28" i="19"/>
  <c r="M28" i="19" s="1"/>
  <c r="N28" i="19" s="1"/>
  <c r="U27" i="19"/>
  <c r="L27" i="19"/>
  <c r="M27" i="19" s="1"/>
  <c r="U26" i="19"/>
  <c r="L26" i="19"/>
  <c r="M26" i="19" s="1"/>
  <c r="N26" i="19" s="1"/>
  <c r="U25" i="19"/>
  <c r="L25" i="19"/>
  <c r="M25" i="19" s="1"/>
  <c r="L24" i="19"/>
  <c r="M24" i="19" s="1"/>
  <c r="U23" i="19"/>
  <c r="L23" i="19"/>
  <c r="M23" i="19" s="1"/>
  <c r="N23" i="19" s="1"/>
  <c r="U22" i="19"/>
  <c r="L22" i="19"/>
  <c r="M22" i="19" s="1"/>
  <c r="U21" i="19"/>
  <c r="L21" i="19"/>
  <c r="M21" i="19" s="1"/>
  <c r="N21" i="19" s="1"/>
  <c r="U20" i="19"/>
  <c r="L20" i="19"/>
  <c r="M20" i="19" s="1"/>
  <c r="U19" i="19"/>
  <c r="L19" i="19"/>
  <c r="M19" i="19" s="1"/>
  <c r="N19" i="19" s="1"/>
  <c r="U18" i="19"/>
  <c r="L18" i="19"/>
  <c r="M18" i="19" s="1"/>
  <c r="U17" i="19"/>
  <c r="L17" i="19"/>
  <c r="M17" i="19" s="1"/>
  <c r="N17" i="19" s="1"/>
  <c r="U16" i="19"/>
  <c r="L16" i="19"/>
  <c r="M16" i="19" s="1"/>
  <c r="U15" i="19"/>
  <c r="L15" i="19"/>
  <c r="M15" i="19" s="1"/>
  <c r="N15" i="19" s="1"/>
  <c r="U14" i="19"/>
  <c r="L14" i="19"/>
  <c r="M14" i="19" s="1"/>
  <c r="U13" i="19"/>
  <c r="L13" i="19"/>
  <c r="M13" i="19" s="1"/>
  <c r="U12" i="19"/>
  <c r="L12" i="19"/>
  <c r="M12" i="19" s="1"/>
  <c r="U11" i="19"/>
  <c r="L11" i="19"/>
  <c r="M11" i="19" s="1"/>
  <c r="N11" i="19" s="1"/>
  <c r="AC10" i="19"/>
  <c r="U10" i="19"/>
  <c r="N10" i="19"/>
  <c r="U9" i="19"/>
  <c r="N9" i="19"/>
  <c r="N8" i="19"/>
  <c r="U7" i="19"/>
  <c r="L7" i="19"/>
  <c r="M7" i="19" s="1"/>
  <c r="AC7" i="19" s="1"/>
  <c r="B129" i="6"/>
  <c r="C128" i="6"/>
  <c r="C127" i="6"/>
  <c r="C126" i="6"/>
  <c r="C125" i="6"/>
  <c r="C124" i="6"/>
  <c r="C123" i="6"/>
  <c r="C122" i="6"/>
  <c r="C121" i="6"/>
  <c r="C120" i="6"/>
  <c r="C119" i="6"/>
  <c r="C118" i="6"/>
  <c r="C117" i="6"/>
  <c r="C116" i="6"/>
  <c r="C115" i="6"/>
  <c r="C114" i="6"/>
  <c r="B114" i="6"/>
  <c r="F114" i="6" s="1"/>
  <c r="G114" i="6" s="1"/>
  <c r="C113" i="6"/>
  <c r="C111" i="6"/>
  <c r="C110" i="6"/>
  <c r="C109" i="6"/>
  <c r="C108" i="6"/>
  <c r="C107" i="6"/>
  <c r="C106" i="6"/>
  <c r="C105" i="6"/>
  <c r="B105" i="6"/>
  <c r="F105" i="6" s="1"/>
  <c r="G105" i="6" s="1"/>
  <c r="C104" i="6"/>
  <c r="C103" i="6"/>
  <c r="C102" i="6"/>
  <c r="C101" i="6"/>
  <c r="C100" i="6"/>
  <c r="C99" i="6"/>
  <c r="C98" i="6"/>
  <c r="B98" i="6"/>
  <c r="F98" i="6" s="1"/>
  <c r="G98" i="6" s="1"/>
  <c r="C88" i="6"/>
  <c r="C87" i="6"/>
  <c r="C86" i="6"/>
  <c r="C85" i="6"/>
  <c r="B85" i="6"/>
  <c r="C84" i="6"/>
  <c r="C83" i="6"/>
  <c r="B83" i="6"/>
  <c r="C82" i="6"/>
  <c r="C81" i="6"/>
  <c r="C79" i="6"/>
  <c r="B79" i="6"/>
  <c r="F79" i="6" s="1"/>
  <c r="G79" i="6" s="1"/>
  <c r="C78" i="6"/>
  <c r="C77" i="6"/>
  <c r="C76" i="6"/>
  <c r="C75" i="6"/>
  <c r="C74" i="6"/>
  <c r="C72" i="6"/>
  <c r="C71" i="6"/>
  <c r="B71" i="6"/>
  <c r="F71" i="6" s="1"/>
  <c r="G71" i="6" s="1"/>
  <c r="C70" i="6"/>
  <c r="C69" i="6"/>
  <c r="C68" i="6"/>
  <c r="C65" i="6"/>
  <c r="C64" i="6"/>
  <c r="C63" i="6"/>
  <c r="C62" i="6"/>
  <c r="C61" i="6"/>
  <c r="C60" i="6"/>
  <c r="C58" i="6"/>
  <c r="C57" i="6"/>
  <c r="C56" i="6"/>
  <c r="C55" i="6"/>
  <c r="C54" i="6"/>
  <c r="C53" i="6"/>
  <c r="C52" i="6"/>
  <c r="C51" i="6"/>
  <c r="C50" i="6"/>
  <c r="B50" i="6"/>
  <c r="C48" i="6"/>
  <c r="C47" i="6"/>
  <c r="C46" i="6"/>
  <c r="C45" i="6"/>
  <c r="C44" i="6"/>
  <c r="C43" i="6"/>
  <c r="C42" i="6"/>
  <c r="C41" i="6"/>
  <c r="C39" i="6"/>
  <c r="C36" i="6"/>
  <c r="B36" i="6"/>
  <c r="F36" i="6" s="1"/>
  <c r="C35" i="6"/>
  <c r="C34" i="6"/>
  <c r="C33" i="6"/>
  <c r="C32" i="6"/>
  <c r="C30" i="6"/>
  <c r="C28" i="6"/>
  <c r="C27" i="6"/>
  <c r="C26" i="6"/>
  <c r="C25" i="6"/>
  <c r="C24" i="6"/>
  <c r="C23" i="6"/>
  <c r="C22" i="6"/>
  <c r="C21" i="6"/>
  <c r="C20" i="6"/>
  <c r="C19" i="6"/>
  <c r="C18" i="6"/>
  <c r="C17" i="6"/>
  <c r="C16" i="6"/>
  <c r="C15" i="6"/>
  <c r="C14" i="6"/>
  <c r="C12" i="6"/>
  <c r="C11" i="6"/>
  <c r="B10" i="6"/>
  <c r="C9" i="6"/>
  <c r="C8" i="6"/>
  <c r="B8" i="6"/>
  <c r="F8" i="6" s="1"/>
  <c r="G8" i="6" s="1"/>
  <c r="G125" i="24"/>
  <c r="G124" i="24"/>
  <c r="G123" i="24"/>
  <c r="G122" i="24"/>
  <c r="G121" i="24"/>
  <c r="G120" i="24"/>
  <c r="G119" i="24"/>
  <c r="G118" i="24"/>
  <c r="G117" i="24"/>
  <c r="G116" i="24"/>
  <c r="G115" i="24"/>
  <c r="G114" i="24"/>
  <c r="G113" i="24"/>
  <c r="G112" i="24"/>
  <c r="G111" i="24"/>
  <c r="G110" i="24"/>
  <c r="G109" i="24"/>
  <c r="G108" i="24"/>
  <c r="G107" i="24"/>
  <c r="G106" i="24"/>
  <c r="G105" i="24"/>
  <c r="G104" i="24"/>
  <c r="G103" i="24"/>
  <c r="G102" i="24"/>
  <c r="G101" i="24"/>
  <c r="G100" i="24"/>
  <c r="G99" i="24"/>
  <c r="G98" i="24"/>
  <c r="G97" i="24"/>
  <c r="G96" i="24"/>
  <c r="G95" i="24"/>
  <c r="G94" i="24"/>
  <c r="G86" i="24"/>
  <c r="G85" i="24"/>
  <c r="G84" i="24"/>
  <c r="G83" i="24"/>
  <c r="G82" i="24"/>
  <c r="G81" i="24"/>
  <c r="G80" i="24"/>
  <c r="G79" i="24"/>
  <c r="G78" i="24"/>
  <c r="G77" i="24"/>
  <c r="G76" i="24"/>
  <c r="G75" i="24"/>
  <c r="G74" i="24"/>
  <c r="G73" i="24"/>
  <c r="G72" i="24"/>
  <c r="G71" i="24"/>
  <c r="G70" i="24"/>
  <c r="G69" i="24"/>
  <c r="G68" i="24"/>
  <c r="G67" i="24"/>
  <c r="G66" i="24"/>
  <c r="G65" i="24"/>
  <c r="G64" i="24"/>
  <c r="G63" i="24"/>
  <c r="G62" i="24"/>
  <c r="G61" i="24"/>
  <c r="G60" i="24"/>
  <c r="G59" i="24"/>
  <c r="G58" i="24"/>
  <c r="G57" i="24"/>
  <c r="G56" i="24"/>
  <c r="G55" i="24"/>
  <c r="G54" i="24"/>
  <c r="G53" i="24"/>
  <c r="G52" i="24"/>
  <c r="G51" i="24"/>
  <c r="G50" i="24"/>
  <c r="G49" i="24"/>
  <c r="G48" i="24"/>
  <c r="G47" i="24"/>
  <c r="G46" i="24"/>
  <c r="G45" i="24"/>
  <c r="G44" i="24"/>
  <c r="G43" i="24"/>
  <c r="G42" i="24"/>
  <c r="G41" i="24"/>
  <c r="G40" i="24"/>
  <c r="G39" i="24"/>
  <c r="G38" i="24"/>
  <c r="G37" i="24"/>
  <c r="G36" i="24"/>
  <c r="G35" i="24"/>
  <c r="G34" i="24"/>
  <c r="G33" i="24"/>
  <c r="G32" i="24"/>
  <c r="G31" i="24"/>
  <c r="G30" i="24"/>
  <c r="G29" i="24"/>
  <c r="G28" i="24"/>
  <c r="G27" i="24"/>
  <c r="G26" i="24"/>
  <c r="G25" i="24"/>
  <c r="G24" i="24"/>
  <c r="G23" i="24"/>
  <c r="G22" i="24"/>
  <c r="G21" i="24"/>
  <c r="G20" i="24"/>
  <c r="G19" i="24"/>
  <c r="G18" i="24"/>
  <c r="G17" i="24"/>
  <c r="G16" i="24"/>
  <c r="G15" i="24"/>
  <c r="G14" i="24"/>
  <c r="G13" i="24"/>
  <c r="G12" i="24"/>
  <c r="G11" i="24"/>
  <c r="G10" i="24"/>
  <c r="G9" i="24"/>
  <c r="G8" i="24"/>
  <c r="G7" i="24"/>
  <c r="G6" i="24"/>
  <c r="G5" i="24"/>
  <c r="G4" i="24"/>
  <c r="G3" i="24"/>
  <c r="C26" i="23"/>
  <c r="G26" i="23" s="1"/>
  <c r="G18" i="23"/>
  <c r="V99" i="18"/>
  <c r="M36" i="18"/>
  <c r="J36" i="18"/>
  <c r="N129" i="22"/>
  <c r="C129" i="22"/>
  <c r="C128" i="22"/>
  <c r="C127" i="22"/>
  <c r="N126" i="22"/>
  <c r="C126" i="22"/>
  <c r="C125" i="22"/>
  <c r="C124" i="22"/>
  <c r="C123" i="22"/>
  <c r="C122" i="22"/>
  <c r="C121" i="22"/>
  <c r="C120" i="22"/>
  <c r="C119" i="22"/>
  <c r="N118" i="22"/>
  <c r="C118" i="22"/>
  <c r="C117" i="22"/>
  <c r="C116" i="22"/>
  <c r="C115" i="22"/>
  <c r="C114" i="22"/>
  <c r="C113" i="22"/>
  <c r="N112" i="22"/>
  <c r="C112" i="22"/>
  <c r="H112" i="22"/>
  <c r="N111" i="22"/>
  <c r="C111" i="22"/>
  <c r="H111" i="22"/>
  <c r="C110" i="22"/>
  <c r="C109" i="22"/>
  <c r="C108" i="22"/>
  <c r="C107" i="22"/>
  <c r="C106" i="22"/>
  <c r="C105" i="22"/>
  <c r="C104" i="22"/>
  <c r="C103" i="22"/>
  <c r="C102" i="22"/>
  <c r="C101" i="22"/>
  <c r="C100" i="22"/>
  <c r="C99" i="22"/>
  <c r="C98" i="22"/>
  <c r="C90" i="22"/>
  <c r="N89" i="22"/>
  <c r="C89" i="22"/>
  <c r="F89" i="22"/>
  <c r="C88" i="22"/>
  <c r="C87" i="22"/>
  <c r="C86" i="22"/>
  <c r="N85" i="22"/>
  <c r="C85" i="22"/>
  <c r="F85" i="22"/>
  <c r="C84" i="22"/>
  <c r="C83" i="22"/>
  <c r="C82" i="22"/>
  <c r="N81" i="22"/>
  <c r="C81" i="22"/>
  <c r="F81" i="22"/>
  <c r="N80" i="22"/>
  <c r="H80" i="22"/>
  <c r="C80" i="22"/>
  <c r="C79" i="22"/>
  <c r="C78" i="22"/>
  <c r="C77" i="22"/>
  <c r="C76" i="22"/>
  <c r="C75" i="22"/>
  <c r="C74" i="22"/>
  <c r="C73" i="22"/>
  <c r="C72" i="22"/>
  <c r="C71" i="22"/>
  <c r="C70" i="22"/>
  <c r="C69" i="22"/>
  <c r="C68" i="22"/>
  <c r="C67" i="22"/>
  <c r="C66" i="22"/>
  <c r="C65" i="22"/>
  <c r="C64" i="22"/>
  <c r="C63" i="22"/>
  <c r="C62" i="22"/>
  <c r="C61" i="22"/>
  <c r="C60" i="22"/>
  <c r="C59" i="22"/>
  <c r="C58" i="22"/>
  <c r="C57" i="22"/>
  <c r="C56" i="22"/>
  <c r="C55" i="22"/>
  <c r="C54" i="22"/>
  <c r="C53" i="22"/>
  <c r="C52" i="22"/>
  <c r="C51" i="22"/>
  <c r="C50" i="22"/>
  <c r="C49" i="22"/>
  <c r="C48" i="22"/>
  <c r="C47" i="22"/>
  <c r="C46" i="22"/>
  <c r="C45" i="22"/>
  <c r="C44" i="22"/>
  <c r="C43" i="22"/>
  <c r="C42" i="22"/>
  <c r="C41" i="22"/>
  <c r="N40" i="22"/>
  <c r="C40" i="22"/>
  <c r="F40" i="22"/>
  <c r="C39" i="22"/>
  <c r="N38" i="22"/>
  <c r="J38" i="4" s="1"/>
  <c r="C38" i="22"/>
  <c r="F38" i="22"/>
  <c r="N37" i="22"/>
  <c r="C37" i="22"/>
  <c r="F37" i="22"/>
  <c r="N36" i="22"/>
  <c r="C36" i="22"/>
  <c r="E36" i="22" s="1"/>
  <c r="C35" i="22"/>
  <c r="C34" i="22"/>
  <c r="C33" i="22"/>
  <c r="C32" i="22"/>
  <c r="C31" i="22"/>
  <c r="C30" i="22"/>
  <c r="N29" i="22"/>
  <c r="F29" i="22"/>
  <c r="C29" i="22"/>
  <c r="H28" i="22"/>
  <c r="E28" i="22"/>
  <c r="C28" i="22"/>
  <c r="C27" i="22"/>
  <c r="C26" i="22"/>
  <c r="C25" i="22"/>
  <c r="C24" i="22"/>
  <c r="C23" i="22"/>
  <c r="C22" i="22"/>
  <c r="N21" i="22"/>
  <c r="C21" i="22"/>
  <c r="C20" i="22"/>
  <c r="C19" i="22"/>
  <c r="C18" i="22"/>
  <c r="C17" i="22"/>
  <c r="C16" i="22"/>
  <c r="C15" i="22"/>
  <c r="N14" i="22"/>
  <c r="H14" i="22"/>
  <c r="C14" i="22"/>
  <c r="N13" i="22"/>
  <c r="C13" i="22"/>
  <c r="H13" i="22"/>
  <c r="H12" i="22"/>
  <c r="C12" i="22"/>
  <c r="C11" i="22"/>
  <c r="C10" i="22"/>
  <c r="C9" i="22"/>
  <c r="C8" i="22"/>
  <c r="C7" i="22"/>
  <c r="D129" i="20"/>
  <c r="F129" i="20" s="1"/>
  <c r="G129" i="20" s="1"/>
  <c r="H129" i="20" s="1"/>
  <c r="I129" i="20" s="1"/>
  <c r="D128" i="20"/>
  <c r="D127" i="20"/>
  <c r="D126" i="20"/>
  <c r="F126" i="20" s="1"/>
  <c r="G126" i="20" s="1"/>
  <c r="H126" i="20" s="1"/>
  <c r="I126" i="20" s="1"/>
  <c r="D125" i="20"/>
  <c r="D124" i="20"/>
  <c r="D123" i="20"/>
  <c r="D122" i="20"/>
  <c r="D121" i="20"/>
  <c r="D120" i="20"/>
  <c r="D119" i="20"/>
  <c r="D118" i="20"/>
  <c r="D117" i="20"/>
  <c r="D116" i="20"/>
  <c r="D114" i="20"/>
  <c r="E113" i="20"/>
  <c r="D113" i="20"/>
  <c r="D112" i="20"/>
  <c r="D111" i="20"/>
  <c r="F111" i="20" s="1"/>
  <c r="G111" i="20" s="1"/>
  <c r="H111" i="20" s="1"/>
  <c r="I111" i="20" s="1"/>
  <c r="D110" i="20"/>
  <c r="D109" i="20"/>
  <c r="D108" i="20"/>
  <c r="D106" i="20"/>
  <c r="D105" i="20"/>
  <c r="D104" i="20"/>
  <c r="D103" i="20"/>
  <c r="D102" i="20"/>
  <c r="D101" i="20"/>
  <c r="D100" i="20"/>
  <c r="D90" i="20"/>
  <c r="D89" i="20"/>
  <c r="F89" i="20" s="1"/>
  <c r="G89" i="20" s="1"/>
  <c r="H89" i="20" s="1"/>
  <c r="I89" i="20" s="1"/>
  <c r="D88" i="20"/>
  <c r="D87" i="20"/>
  <c r="D85" i="20"/>
  <c r="D84" i="20"/>
  <c r="D83" i="20"/>
  <c r="D82" i="20"/>
  <c r="D81" i="20"/>
  <c r="D80" i="20"/>
  <c r="F80" i="20" s="1"/>
  <c r="G80" i="20" s="1"/>
  <c r="H80" i="20" s="1"/>
  <c r="I80" i="20" s="1"/>
  <c r="D79" i="20"/>
  <c r="D77" i="20"/>
  <c r="D76" i="20"/>
  <c r="D75" i="20"/>
  <c r="D74" i="20"/>
  <c r="D73" i="20"/>
  <c r="D72" i="20"/>
  <c r="D71" i="20"/>
  <c r="D69" i="20"/>
  <c r="E68" i="20"/>
  <c r="D68" i="20"/>
  <c r="D67" i="20"/>
  <c r="D66" i="20"/>
  <c r="D65" i="20"/>
  <c r="D64" i="20"/>
  <c r="D63" i="20"/>
  <c r="D61" i="20"/>
  <c r="D60" i="20"/>
  <c r="D59" i="20"/>
  <c r="D58" i="20"/>
  <c r="D57" i="20"/>
  <c r="D56" i="20"/>
  <c r="D55" i="20"/>
  <c r="D53" i="20"/>
  <c r="D52" i="20"/>
  <c r="D51" i="20"/>
  <c r="D50" i="20"/>
  <c r="D49" i="20"/>
  <c r="D48" i="20"/>
  <c r="D47" i="20"/>
  <c r="D45" i="20"/>
  <c r="D44" i="20"/>
  <c r="D43" i="20"/>
  <c r="D42" i="20"/>
  <c r="D41" i="20"/>
  <c r="D40" i="20"/>
  <c r="D39" i="20"/>
  <c r="D37" i="20"/>
  <c r="E36" i="20"/>
  <c r="D36" i="20"/>
  <c r="F36" i="20" s="1"/>
  <c r="G36" i="20" s="1"/>
  <c r="H36" i="20" s="1"/>
  <c r="I36" i="20" s="1"/>
  <c r="D35" i="20"/>
  <c r="D34" i="20"/>
  <c r="D33" i="20"/>
  <c r="D32" i="20"/>
  <c r="D31" i="20"/>
  <c r="D29" i="20"/>
  <c r="D28" i="20"/>
  <c r="D27" i="20"/>
  <c r="D26" i="20"/>
  <c r="D25" i="20"/>
  <c r="D24" i="20"/>
  <c r="D23" i="20"/>
  <c r="D21" i="20"/>
  <c r="D20" i="20"/>
  <c r="D19" i="20"/>
  <c r="D18" i="20"/>
  <c r="D17" i="20"/>
  <c r="D16" i="20"/>
  <c r="D15" i="20"/>
  <c r="D13" i="20"/>
  <c r="D12" i="20"/>
  <c r="D11" i="20"/>
  <c r="D10" i="20"/>
  <c r="D9" i="20"/>
  <c r="D8" i="20"/>
  <c r="D7" i="20"/>
  <c r="X56" i="17"/>
  <c r="I26" i="17"/>
  <c r="F26" i="17"/>
  <c r="T21" i="17"/>
  <c r="R21" i="17"/>
  <c r="S55" i="17"/>
  <c r="T55" i="17" s="1"/>
  <c r="S54" i="17"/>
  <c r="T54" i="17" s="1"/>
  <c r="I18" i="17"/>
  <c r="T13" i="17"/>
  <c r="N129" i="4"/>
  <c r="S129" i="4" s="1"/>
  <c r="R128" i="4"/>
  <c r="N128" i="4"/>
  <c r="S128" i="4" s="1"/>
  <c r="R127" i="4"/>
  <c r="N127" i="4"/>
  <c r="S127" i="4" s="1"/>
  <c r="R123" i="4"/>
  <c r="N123" i="4"/>
  <c r="S123" i="4" s="1"/>
  <c r="R122" i="4"/>
  <c r="N122" i="4"/>
  <c r="S122" i="4" s="1"/>
  <c r="R121" i="4"/>
  <c r="N121" i="4"/>
  <c r="S121" i="4" s="1"/>
  <c r="R120" i="4"/>
  <c r="N120" i="4"/>
  <c r="S120" i="4" s="1"/>
  <c r="R119" i="4"/>
  <c r="N119" i="4"/>
  <c r="S119" i="4" s="1"/>
  <c r="R118" i="4"/>
  <c r="N118" i="4"/>
  <c r="S118" i="4" s="1"/>
  <c r="R117" i="4"/>
  <c r="N117" i="4"/>
  <c r="S117" i="4" s="1"/>
  <c r="R114" i="4"/>
  <c r="N114" i="4"/>
  <c r="S114" i="4" s="1"/>
  <c r="R113" i="4"/>
  <c r="N113" i="4"/>
  <c r="S113" i="4" s="1"/>
  <c r="N112" i="4"/>
  <c r="S112" i="4" s="1"/>
  <c r="R111" i="4"/>
  <c r="N111" i="4"/>
  <c r="S111" i="4" s="1"/>
  <c r="R108" i="4"/>
  <c r="N108" i="4"/>
  <c r="S108" i="4" s="1"/>
  <c r="N105" i="4"/>
  <c r="S105" i="4" s="1"/>
  <c r="R104" i="4"/>
  <c r="N104" i="4"/>
  <c r="S104" i="4" s="1"/>
  <c r="R103" i="4"/>
  <c r="N103" i="4"/>
  <c r="S103" i="4" s="1"/>
  <c r="R102" i="4"/>
  <c r="N102" i="4"/>
  <c r="S102" i="4" s="1"/>
  <c r="N101" i="4"/>
  <c r="S101" i="4" s="1"/>
  <c r="R100" i="4"/>
  <c r="N100" i="4"/>
  <c r="S100" i="4" s="1"/>
  <c r="R99" i="4"/>
  <c r="N99" i="4"/>
  <c r="S99" i="4" s="1"/>
  <c r="R98" i="4"/>
  <c r="N98" i="4"/>
  <c r="S98" i="4" s="1"/>
  <c r="R90" i="4"/>
  <c r="N90" i="4"/>
  <c r="S90" i="4" s="1"/>
  <c r="R89" i="4"/>
  <c r="N89" i="4"/>
  <c r="S89" i="4" s="1"/>
  <c r="R88" i="4"/>
  <c r="N88" i="4"/>
  <c r="S88" i="4" s="1"/>
  <c r="R86" i="4"/>
  <c r="N86" i="4"/>
  <c r="S86" i="4" s="1"/>
  <c r="R84" i="4"/>
  <c r="N84" i="4"/>
  <c r="S84" i="4" s="1"/>
  <c r="N83" i="4"/>
  <c r="S83" i="4" s="1"/>
  <c r="R82" i="4"/>
  <c r="N82" i="4"/>
  <c r="S82" i="4" s="1"/>
  <c r="R81" i="4"/>
  <c r="N81" i="4"/>
  <c r="S81" i="4" s="1"/>
  <c r="N80" i="4"/>
  <c r="S80" i="4" s="1"/>
  <c r="N76" i="4"/>
  <c r="S76" i="4" s="1"/>
  <c r="R74" i="4"/>
  <c r="N74" i="4"/>
  <c r="S74" i="4" s="1"/>
  <c r="N73" i="4"/>
  <c r="S73" i="4" s="1"/>
  <c r="N72" i="4"/>
  <c r="S72" i="4" s="1"/>
  <c r="R69" i="4"/>
  <c r="N69" i="4"/>
  <c r="S69" i="4" s="1"/>
  <c r="R68" i="4"/>
  <c r="N68" i="4"/>
  <c r="S68" i="4" s="1"/>
  <c r="R67" i="4"/>
  <c r="N67" i="4"/>
  <c r="S67" i="4" s="1"/>
  <c r="R65" i="4"/>
  <c r="N65" i="4"/>
  <c r="S65" i="4" s="1"/>
  <c r="R58" i="4"/>
  <c r="N58" i="4"/>
  <c r="S58" i="4" s="1"/>
  <c r="N57" i="4"/>
  <c r="S57" i="4" s="1"/>
  <c r="R55" i="4"/>
  <c r="N55" i="4"/>
  <c r="S55" i="4" s="1"/>
  <c r="R54" i="4"/>
  <c r="N54" i="4"/>
  <c r="S54" i="4" s="1"/>
  <c r="R53" i="4"/>
  <c r="N53" i="4"/>
  <c r="S53" i="4" s="1"/>
  <c r="R52" i="4"/>
  <c r="N52" i="4"/>
  <c r="S52" i="4" s="1"/>
  <c r="R51" i="4"/>
  <c r="N51" i="4"/>
  <c r="S51" i="4" s="1"/>
  <c r="R50" i="4"/>
  <c r="N50" i="4"/>
  <c r="S50" i="4" s="1"/>
  <c r="R45" i="4"/>
  <c r="R43" i="4"/>
  <c r="N43" i="4"/>
  <c r="S43" i="4" s="1"/>
  <c r="R40" i="4"/>
  <c r="R36" i="4"/>
  <c r="N36" i="4"/>
  <c r="S36" i="4" s="1"/>
  <c r="R34" i="4"/>
  <c r="N34" i="4"/>
  <c r="S34" i="4" s="1"/>
  <c r="N33" i="4"/>
  <c r="S33" i="4" s="1"/>
  <c r="R31" i="4"/>
  <c r="N31" i="4"/>
  <c r="S31" i="4" s="1"/>
  <c r="R30" i="4"/>
  <c r="N30" i="4"/>
  <c r="S30" i="4" s="1"/>
  <c r="R29" i="4"/>
  <c r="N29" i="4"/>
  <c r="S29" i="4" s="1"/>
  <c r="R28" i="4"/>
  <c r="N28" i="4"/>
  <c r="S28" i="4" s="1"/>
  <c r="R25" i="4"/>
  <c r="R21" i="4"/>
  <c r="N21" i="4"/>
  <c r="S21" i="4" s="1"/>
  <c r="R17" i="4"/>
  <c r="N17" i="4"/>
  <c r="S17" i="4" s="1"/>
  <c r="R15" i="4"/>
  <c r="N15" i="4"/>
  <c r="S15" i="4" s="1"/>
  <c r="R14" i="4"/>
  <c r="N14" i="4"/>
  <c r="S14" i="4" s="1"/>
  <c r="R13" i="4"/>
  <c r="N13" i="4"/>
  <c r="S13" i="4" s="1"/>
  <c r="R12" i="4"/>
  <c r="N12" i="4"/>
  <c r="S12" i="4" s="1"/>
  <c r="R9" i="4"/>
  <c r="N9" i="4"/>
  <c r="S9" i="4" s="1"/>
  <c r="AB28" i="22" l="1"/>
  <c r="O28" i="22"/>
  <c r="J28" i="22"/>
  <c r="N28" i="22" s="1"/>
  <c r="AE28" i="22"/>
  <c r="I28" i="22"/>
  <c r="M28" i="22" s="1"/>
  <c r="R28" i="22" s="1"/>
  <c r="AD28" i="22"/>
  <c r="AC28" i="22"/>
  <c r="P28" i="22"/>
  <c r="AB36" i="22"/>
  <c r="AE36" i="22"/>
  <c r="AD36" i="22"/>
  <c r="AC36" i="22"/>
  <c r="AE99" i="22"/>
  <c r="P99" i="22"/>
  <c r="AC99" i="22"/>
  <c r="AB99" i="22"/>
  <c r="AD99" i="22"/>
  <c r="O99" i="22"/>
  <c r="J99" i="22"/>
  <c r="I99" i="22"/>
  <c r="AD10" i="19"/>
  <c r="AD129" i="19"/>
  <c r="AD37" i="19"/>
  <c r="C37" i="6" s="1"/>
  <c r="F127" i="18"/>
  <c r="G127" i="18" s="1"/>
  <c r="F112" i="18"/>
  <c r="G112" i="18" s="1"/>
  <c r="F106" i="18"/>
  <c r="G106" i="18" s="1"/>
  <c r="F104" i="18"/>
  <c r="G104" i="18" s="1"/>
  <c r="F102" i="18"/>
  <c r="G102" i="18" s="1"/>
  <c r="F100" i="18"/>
  <c r="G100" i="18" s="1"/>
  <c r="F98" i="18"/>
  <c r="G98" i="18" s="1"/>
  <c r="F96" i="18"/>
  <c r="G96" i="18" s="1"/>
  <c r="F94" i="18"/>
  <c r="G94" i="18" s="1"/>
  <c r="F92" i="18"/>
  <c r="G92" i="18" s="1"/>
  <c r="F88" i="18"/>
  <c r="G88" i="18" s="1"/>
  <c r="F86" i="18"/>
  <c r="G86" i="18" s="1"/>
  <c r="F84" i="18"/>
  <c r="G84" i="18" s="1"/>
  <c r="F82" i="18"/>
  <c r="G82" i="18" s="1"/>
  <c r="F80" i="18"/>
  <c r="G80" i="18" s="1"/>
  <c r="F78" i="18"/>
  <c r="G78" i="18" s="1"/>
  <c r="F70" i="18"/>
  <c r="G70" i="18" s="1"/>
  <c r="F68" i="18"/>
  <c r="G68" i="18" s="1"/>
  <c r="F66" i="18"/>
  <c r="G66" i="18" s="1"/>
  <c r="F62" i="18"/>
  <c r="G62" i="18" s="1"/>
  <c r="F60" i="18"/>
  <c r="G60" i="18" s="1"/>
  <c r="F56" i="18"/>
  <c r="G56" i="18" s="1"/>
  <c r="F54" i="18"/>
  <c r="G54" i="18" s="1"/>
  <c r="F52" i="18"/>
  <c r="G52" i="18" s="1"/>
  <c r="F50" i="18"/>
  <c r="G50" i="18" s="1"/>
  <c r="F44" i="18"/>
  <c r="G44" i="18" s="1"/>
  <c r="F40" i="18"/>
  <c r="G40" i="18" s="1"/>
  <c r="F32" i="18"/>
  <c r="G32" i="18" s="1"/>
  <c r="F28" i="18"/>
  <c r="G28" i="18" s="1"/>
  <c r="F22" i="18"/>
  <c r="G22" i="18" s="1"/>
  <c r="F20" i="18"/>
  <c r="F18" i="18"/>
  <c r="G18" i="18" s="1"/>
  <c r="F16" i="18"/>
  <c r="F14" i="18"/>
  <c r="G14" i="18" s="1"/>
  <c r="F12" i="18"/>
  <c r="G12" i="18" s="1"/>
  <c r="F8" i="18"/>
  <c r="G8" i="18" s="1"/>
  <c r="F129" i="18"/>
  <c r="G129" i="18" s="1"/>
  <c r="F120" i="18"/>
  <c r="G120" i="18" s="1"/>
  <c r="F118" i="18"/>
  <c r="G118" i="18" s="1"/>
  <c r="F126" i="18"/>
  <c r="G126" i="18" s="1"/>
  <c r="F124" i="18"/>
  <c r="G124" i="18" s="1"/>
  <c r="F111" i="18"/>
  <c r="G111" i="18" s="1"/>
  <c r="F109" i="18"/>
  <c r="G109" i="18" s="1"/>
  <c r="F107" i="18"/>
  <c r="G107" i="18" s="1"/>
  <c r="F105" i="18"/>
  <c r="G105" i="18" s="1"/>
  <c r="F103" i="18"/>
  <c r="G103" i="18" s="1"/>
  <c r="F101" i="18"/>
  <c r="G101" i="18" s="1"/>
  <c r="F99" i="18"/>
  <c r="F97" i="18"/>
  <c r="G97" i="18" s="1"/>
  <c r="F95" i="18"/>
  <c r="G95" i="18" s="1"/>
  <c r="F93" i="18"/>
  <c r="G93" i="18" s="1"/>
  <c r="F91" i="18"/>
  <c r="G91" i="18" s="1"/>
  <c r="F87" i="18"/>
  <c r="G87" i="18" s="1"/>
  <c r="F85" i="18"/>
  <c r="G85" i="18" s="1"/>
  <c r="F83" i="18"/>
  <c r="G83" i="18" s="1"/>
  <c r="F81" i="18"/>
  <c r="G81" i="18" s="1"/>
  <c r="F79" i="18"/>
  <c r="G79" i="18" s="1"/>
  <c r="F71" i="18"/>
  <c r="G71" i="18" s="1"/>
  <c r="F69" i="18"/>
  <c r="F67" i="18"/>
  <c r="G67" i="18" s="1"/>
  <c r="F63" i="18"/>
  <c r="G63" i="18" s="1"/>
  <c r="F61" i="18"/>
  <c r="G61" i="18" s="1"/>
  <c r="F55" i="18"/>
  <c r="G55" i="18" s="1"/>
  <c r="F53" i="18"/>
  <c r="G53" i="18" s="1"/>
  <c r="F45" i="18"/>
  <c r="F43" i="18"/>
  <c r="G43" i="18" s="1"/>
  <c r="F41" i="18"/>
  <c r="G41" i="18" s="1"/>
  <c r="F39" i="18"/>
  <c r="F37" i="18"/>
  <c r="G37" i="18" s="1"/>
  <c r="F35" i="18"/>
  <c r="G35" i="18" s="1"/>
  <c r="F33" i="18"/>
  <c r="G33" i="18" s="1"/>
  <c r="F19" i="18"/>
  <c r="G19" i="18" s="1"/>
  <c r="F17" i="18"/>
  <c r="F11" i="18"/>
  <c r="G11" i="18" s="1"/>
  <c r="F9" i="18"/>
  <c r="G9" i="18" s="1"/>
  <c r="F7" i="18"/>
  <c r="G7" i="18" s="1"/>
  <c r="F128" i="18"/>
  <c r="G128" i="18" s="1"/>
  <c r="F121" i="18"/>
  <c r="G121" i="18" s="1"/>
  <c r="F119" i="18"/>
  <c r="G119" i="18" s="1"/>
  <c r="B10" i="25"/>
  <c r="D10" i="25" s="1"/>
  <c r="E123" i="18" s="1"/>
  <c r="AC108" i="19"/>
  <c r="B108" i="6" s="1"/>
  <c r="N108" i="19"/>
  <c r="AC63" i="19"/>
  <c r="B63" i="6" s="1"/>
  <c r="F63" i="6" s="1"/>
  <c r="G63" i="6" s="1"/>
  <c r="N63" i="19"/>
  <c r="AC65" i="19"/>
  <c r="B65" i="6" s="1"/>
  <c r="N65" i="19"/>
  <c r="AC104" i="19"/>
  <c r="B104" i="6" s="1"/>
  <c r="N104" i="19"/>
  <c r="AC13" i="19"/>
  <c r="AD13" i="19" s="1"/>
  <c r="N13" i="19"/>
  <c r="AC76" i="19"/>
  <c r="B76" i="6" s="1"/>
  <c r="F76" i="6" s="1"/>
  <c r="G76" i="6" s="1"/>
  <c r="N76" i="19"/>
  <c r="AC78" i="19"/>
  <c r="B78" i="6" s="1"/>
  <c r="N78" i="19"/>
  <c r="N82" i="19"/>
  <c r="N102" i="19"/>
  <c r="N106" i="19"/>
  <c r="AC11" i="19"/>
  <c r="B11" i="6" s="1"/>
  <c r="F11" i="6" s="1"/>
  <c r="G11" i="6" s="1"/>
  <c r="AC110" i="19"/>
  <c r="B110" i="6" s="1"/>
  <c r="N110" i="19"/>
  <c r="AC68" i="19"/>
  <c r="B68" i="6" s="1"/>
  <c r="F68" i="6" s="1"/>
  <c r="G68" i="6" s="1"/>
  <c r="N68" i="19"/>
  <c r="AC100" i="19"/>
  <c r="B100" i="6" s="1"/>
  <c r="F100" i="6" s="1"/>
  <c r="G100" i="6" s="1"/>
  <c r="N100" i="19"/>
  <c r="N40" i="19"/>
  <c r="AD40" i="19" s="1"/>
  <c r="N61" i="19"/>
  <c r="N70" i="19"/>
  <c r="M126" i="22"/>
  <c r="M112" i="22"/>
  <c r="M89" i="22"/>
  <c r="M81" i="22"/>
  <c r="M40" i="22"/>
  <c r="M37" i="22"/>
  <c r="M29" i="22"/>
  <c r="M14" i="22"/>
  <c r="M129" i="22"/>
  <c r="M118" i="22"/>
  <c r="M111" i="22"/>
  <c r="M85" i="22"/>
  <c r="M80" i="22"/>
  <c r="M38" i="22"/>
  <c r="M36" i="22"/>
  <c r="M21" i="22"/>
  <c r="M13" i="22"/>
  <c r="M12" i="22"/>
  <c r="U18" i="17"/>
  <c r="S53" i="17" s="1"/>
  <c r="S56" i="17" s="1"/>
  <c r="S48" i="17"/>
  <c r="N7" i="19"/>
  <c r="N118" i="19"/>
  <c r="N122" i="19"/>
  <c r="N126" i="19"/>
  <c r="N116" i="19"/>
  <c r="N120" i="19"/>
  <c r="N124" i="19"/>
  <c r="C129" i="6"/>
  <c r="AC112" i="19"/>
  <c r="N112" i="19"/>
  <c r="N37" i="19"/>
  <c r="AC31" i="19"/>
  <c r="N31" i="19"/>
  <c r="C10" i="6"/>
  <c r="AC16" i="19"/>
  <c r="B16" i="6" s="1"/>
  <c r="F16" i="6" s="1"/>
  <c r="G16" i="6" s="1"/>
  <c r="N16" i="19"/>
  <c r="AC20" i="19"/>
  <c r="B20" i="6" s="1"/>
  <c r="F20" i="6" s="1"/>
  <c r="G20" i="6" s="1"/>
  <c r="N20" i="19"/>
  <c r="N24" i="19"/>
  <c r="AC24" i="19"/>
  <c r="B24" i="6" s="1"/>
  <c r="F24" i="6" s="1"/>
  <c r="G24" i="6" s="1"/>
  <c r="AC34" i="19"/>
  <c r="B34" i="6" s="1"/>
  <c r="F34" i="6" s="1"/>
  <c r="G34" i="6" s="1"/>
  <c r="N34" i="19"/>
  <c r="B37" i="6"/>
  <c r="F37" i="6" s="1"/>
  <c r="G37" i="6" s="1"/>
  <c r="AC41" i="19"/>
  <c r="B41" i="6" s="1"/>
  <c r="F41" i="6" s="1"/>
  <c r="G41" i="6" s="1"/>
  <c r="N41" i="19"/>
  <c r="AC45" i="19"/>
  <c r="B45" i="6" s="1"/>
  <c r="F45" i="6" s="1"/>
  <c r="G45" i="6" s="1"/>
  <c r="N45" i="19"/>
  <c r="AC49" i="19"/>
  <c r="AD49" i="19" s="1"/>
  <c r="N49" i="19"/>
  <c r="AC62" i="19"/>
  <c r="B62" i="6" s="1"/>
  <c r="F62" i="6" s="1"/>
  <c r="G62" i="6" s="1"/>
  <c r="N62" i="19"/>
  <c r="N72" i="19"/>
  <c r="AC72" i="19"/>
  <c r="B72" i="6" s="1"/>
  <c r="F72" i="6" s="1"/>
  <c r="G72" i="6" s="1"/>
  <c r="AC75" i="19"/>
  <c r="B75" i="6" s="1"/>
  <c r="F75" i="6" s="1"/>
  <c r="G75" i="6" s="1"/>
  <c r="N75" i="19"/>
  <c r="AC101" i="19"/>
  <c r="B101" i="6" s="1"/>
  <c r="F101" i="6" s="1"/>
  <c r="G101" i="6" s="1"/>
  <c r="N101" i="19"/>
  <c r="AC113" i="19"/>
  <c r="B113" i="6" s="1"/>
  <c r="F113" i="6" s="1"/>
  <c r="G113" i="6" s="1"/>
  <c r="N113" i="19"/>
  <c r="AC121" i="19"/>
  <c r="B121" i="6" s="1"/>
  <c r="F121" i="6" s="1"/>
  <c r="G121" i="6" s="1"/>
  <c r="N121" i="19"/>
  <c r="AC128" i="19"/>
  <c r="B128" i="6" s="1"/>
  <c r="N128" i="19"/>
  <c r="B7" i="6"/>
  <c r="F7" i="6" s="1"/>
  <c r="G7" i="6" s="1"/>
  <c r="C7" i="6"/>
  <c r="AC12" i="19"/>
  <c r="B12" i="6" s="1"/>
  <c r="F12" i="6" s="1"/>
  <c r="G12" i="6" s="1"/>
  <c r="N12" i="19"/>
  <c r="C13" i="6"/>
  <c r="AC27" i="19"/>
  <c r="B27" i="6" s="1"/>
  <c r="F27" i="6" s="1"/>
  <c r="G27" i="6" s="1"/>
  <c r="N27" i="19"/>
  <c r="AC30" i="19"/>
  <c r="B30" i="6" s="1"/>
  <c r="F30" i="6" s="1"/>
  <c r="G30" i="6" s="1"/>
  <c r="N30" i="19"/>
  <c r="AC38" i="19"/>
  <c r="N38" i="19"/>
  <c r="AC52" i="19"/>
  <c r="B52" i="6" s="1"/>
  <c r="F52" i="6" s="1"/>
  <c r="G52" i="6" s="1"/>
  <c r="N52" i="19"/>
  <c r="AC55" i="19"/>
  <c r="B55" i="6" s="1"/>
  <c r="F55" i="6" s="1"/>
  <c r="G55" i="6" s="1"/>
  <c r="N55" i="19"/>
  <c r="AC59" i="19"/>
  <c r="AD59" i="19" s="1"/>
  <c r="N59" i="19"/>
  <c r="AC64" i="19"/>
  <c r="B64" i="6" s="1"/>
  <c r="F64" i="6" s="1"/>
  <c r="G64" i="6" s="1"/>
  <c r="N64" i="19"/>
  <c r="AC77" i="19"/>
  <c r="B77" i="6" s="1"/>
  <c r="F77" i="6" s="1"/>
  <c r="G77" i="6" s="1"/>
  <c r="N77" i="19"/>
  <c r="AC81" i="19"/>
  <c r="B81" i="6" s="1"/>
  <c r="F81" i="6" s="1"/>
  <c r="G81" i="6" s="1"/>
  <c r="N81" i="19"/>
  <c r="AC84" i="19"/>
  <c r="B84" i="6" s="1"/>
  <c r="N84" i="19"/>
  <c r="AC89" i="19"/>
  <c r="N89" i="19"/>
  <c r="AC103" i="19"/>
  <c r="B103" i="6" s="1"/>
  <c r="F103" i="6" s="1"/>
  <c r="G103" i="6" s="1"/>
  <c r="N103" i="19"/>
  <c r="AC107" i="19"/>
  <c r="N107" i="19"/>
  <c r="AC115" i="19"/>
  <c r="B115" i="6" s="1"/>
  <c r="F115" i="6" s="1"/>
  <c r="G115" i="6" s="1"/>
  <c r="N115" i="19"/>
  <c r="AC123" i="19"/>
  <c r="B123" i="6" s="1"/>
  <c r="F123" i="6" s="1"/>
  <c r="G123" i="6" s="1"/>
  <c r="N123" i="19"/>
  <c r="AC14" i="19"/>
  <c r="B14" i="6" s="1"/>
  <c r="F14" i="6" s="1"/>
  <c r="G14" i="6" s="1"/>
  <c r="N14" i="19"/>
  <c r="AC18" i="19"/>
  <c r="B18" i="6" s="1"/>
  <c r="F18" i="6" s="1"/>
  <c r="G18" i="6" s="1"/>
  <c r="N18" i="19"/>
  <c r="AC22" i="19"/>
  <c r="B22" i="6" s="1"/>
  <c r="F22" i="6" s="1"/>
  <c r="G22" i="6" s="1"/>
  <c r="N22" i="19"/>
  <c r="AC32" i="19"/>
  <c r="B32" i="6" s="1"/>
  <c r="F32" i="6" s="1"/>
  <c r="G32" i="6" s="1"/>
  <c r="N32" i="19"/>
  <c r="AC43" i="19"/>
  <c r="B43" i="6" s="1"/>
  <c r="F43" i="6" s="1"/>
  <c r="G43" i="6" s="1"/>
  <c r="N43" i="19"/>
  <c r="AC47" i="19"/>
  <c r="B47" i="6" s="1"/>
  <c r="F47" i="6" s="1"/>
  <c r="G47" i="6" s="1"/>
  <c r="N47" i="19"/>
  <c r="AC66" i="19"/>
  <c r="AD66" i="19" s="1"/>
  <c r="N66" i="19"/>
  <c r="AC109" i="19"/>
  <c r="B109" i="6" s="1"/>
  <c r="F109" i="6" s="1"/>
  <c r="G109" i="6" s="1"/>
  <c r="N109" i="19"/>
  <c r="AC117" i="19"/>
  <c r="B117" i="6" s="1"/>
  <c r="F117" i="6" s="1"/>
  <c r="G117" i="6" s="1"/>
  <c r="N117" i="19"/>
  <c r="AC125" i="19"/>
  <c r="B125" i="6" s="1"/>
  <c r="F125" i="6" s="1"/>
  <c r="G125" i="6" s="1"/>
  <c r="N125" i="19"/>
  <c r="AC25" i="19"/>
  <c r="B25" i="6" s="1"/>
  <c r="F25" i="6" s="1"/>
  <c r="G25" i="6" s="1"/>
  <c r="N25" i="19"/>
  <c r="AC29" i="19"/>
  <c r="AD29" i="19" s="1"/>
  <c r="AC39" i="19"/>
  <c r="B39" i="6" s="1"/>
  <c r="F39" i="6" s="1"/>
  <c r="G39" i="6" s="1"/>
  <c r="N39" i="19"/>
  <c r="B40" i="6"/>
  <c r="F40" i="6" s="1"/>
  <c r="G40" i="6" s="1"/>
  <c r="AC57" i="19"/>
  <c r="B57" i="6" s="1"/>
  <c r="N57" i="19"/>
  <c r="AC60" i="19"/>
  <c r="B60" i="6" s="1"/>
  <c r="F60" i="6" s="1"/>
  <c r="G60" i="6" s="1"/>
  <c r="N60" i="19"/>
  <c r="AC69" i="19"/>
  <c r="B69" i="6" s="1"/>
  <c r="F69" i="6" s="1"/>
  <c r="G69" i="6" s="1"/>
  <c r="N69" i="19"/>
  <c r="AC73" i="19"/>
  <c r="N73" i="19"/>
  <c r="AC80" i="19"/>
  <c r="N80" i="19"/>
  <c r="AC87" i="19"/>
  <c r="B87" i="6" s="1"/>
  <c r="F87" i="6" s="1"/>
  <c r="G87" i="6" s="1"/>
  <c r="N87" i="19"/>
  <c r="AC90" i="19"/>
  <c r="N90" i="19"/>
  <c r="B99" i="6"/>
  <c r="F99" i="6" s="1"/>
  <c r="N99" i="19"/>
  <c r="AC111" i="19"/>
  <c r="B111" i="6" s="1"/>
  <c r="F111" i="6" s="1"/>
  <c r="G111" i="6" s="1"/>
  <c r="N111" i="19"/>
  <c r="B112" i="6"/>
  <c r="F112" i="6" s="1"/>
  <c r="G112" i="6" s="1"/>
  <c r="AC119" i="19"/>
  <c r="B119" i="6" s="1"/>
  <c r="F119" i="6" s="1"/>
  <c r="G119" i="6" s="1"/>
  <c r="N119" i="19"/>
  <c r="AC127" i="19"/>
  <c r="B127" i="6" s="1"/>
  <c r="F127" i="6" s="1"/>
  <c r="G127" i="6" s="1"/>
  <c r="N127" i="19"/>
  <c r="AC9" i="19"/>
  <c r="B9" i="6" s="1"/>
  <c r="F9" i="6" s="1"/>
  <c r="G9" i="6" s="1"/>
  <c r="AC15" i="19"/>
  <c r="B15" i="6" s="1"/>
  <c r="F15" i="6" s="1"/>
  <c r="G15" i="6" s="1"/>
  <c r="AC17" i="19"/>
  <c r="B17" i="6" s="1"/>
  <c r="F17" i="6" s="1"/>
  <c r="G17" i="6" s="1"/>
  <c r="AC19" i="19"/>
  <c r="B19" i="6" s="1"/>
  <c r="F19" i="6" s="1"/>
  <c r="G19" i="6" s="1"/>
  <c r="AC21" i="19"/>
  <c r="B21" i="6" s="1"/>
  <c r="F21" i="6" s="1"/>
  <c r="G21" i="6" s="1"/>
  <c r="AC23" i="19"/>
  <c r="B23" i="6" s="1"/>
  <c r="F23" i="6" s="1"/>
  <c r="G23" i="6" s="1"/>
  <c r="AC26" i="19"/>
  <c r="B26" i="6" s="1"/>
  <c r="F26" i="6" s="1"/>
  <c r="G26" i="6" s="1"/>
  <c r="AC28" i="19"/>
  <c r="B28" i="6" s="1"/>
  <c r="AC33" i="19"/>
  <c r="B33" i="6" s="1"/>
  <c r="F33" i="6" s="1"/>
  <c r="G33" i="6" s="1"/>
  <c r="AC35" i="19"/>
  <c r="B35" i="6" s="1"/>
  <c r="F35" i="6" s="1"/>
  <c r="G35" i="6" s="1"/>
  <c r="AC42" i="19"/>
  <c r="B42" i="6" s="1"/>
  <c r="F42" i="6" s="1"/>
  <c r="G42" i="6" s="1"/>
  <c r="AC44" i="19"/>
  <c r="B44" i="6" s="1"/>
  <c r="F44" i="6" s="1"/>
  <c r="G44" i="6" s="1"/>
  <c r="AC46" i="19"/>
  <c r="B46" i="6" s="1"/>
  <c r="F46" i="6" s="1"/>
  <c r="G46" i="6" s="1"/>
  <c r="AC48" i="19"/>
  <c r="B48" i="6" s="1"/>
  <c r="F48" i="6" s="1"/>
  <c r="G48" i="6" s="1"/>
  <c r="AC51" i="19"/>
  <c r="B51" i="6" s="1"/>
  <c r="F51" i="6" s="1"/>
  <c r="G51" i="6" s="1"/>
  <c r="AC54" i="19"/>
  <c r="B54" i="6" s="1"/>
  <c r="F54" i="6" s="1"/>
  <c r="G54" i="6" s="1"/>
  <c r="AC56" i="19"/>
  <c r="B56" i="6" s="1"/>
  <c r="F56" i="6" s="1"/>
  <c r="G56" i="6" s="1"/>
  <c r="AC58" i="19"/>
  <c r="B58" i="6" s="1"/>
  <c r="F58" i="6" s="1"/>
  <c r="G58" i="6" s="1"/>
  <c r="AC67" i="19"/>
  <c r="AD67" i="19" s="1"/>
  <c r="AC86" i="19"/>
  <c r="B86" i="6" s="1"/>
  <c r="AC88" i="19"/>
  <c r="B88" i="6" s="1"/>
  <c r="F88" i="6" s="1"/>
  <c r="G88" i="6" s="1"/>
  <c r="AC53" i="19"/>
  <c r="B53" i="6" s="1"/>
  <c r="F53" i="6" s="1"/>
  <c r="G53" i="6" s="1"/>
  <c r="E28" i="20"/>
  <c r="F28" i="20" s="1"/>
  <c r="G28" i="20" s="1"/>
  <c r="H28" i="20" s="1"/>
  <c r="I28" i="20" s="1"/>
  <c r="E60" i="20"/>
  <c r="F60" i="20" s="1"/>
  <c r="G60" i="20" s="1"/>
  <c r="H60" i="20" s="1"/>
  <c r="I60" i="20" s="1"/>
  <c r="F81" i="20"/>
  <c r="G81" i="20" s="1"/>
  <c r="H81" i="20" s="1"/>
  <c r="I81" i="20" s="1"/>
  <c r="E105" i="20"/>
  <c r="F105" i="20" s="1"/>
  <c r="G105" i="20" s="1"/>
  <c r="H105" i="20" s="1"/>
  <c r="I105" i="20" s="1"/>
  <c r="E12" i="22"/>
  <c r="F36" i="22"/>
  <c r="H85" i="22"/>
  <c r="G85" i="22" s="1"/>
  <c r="E20" i="20"/>
  <c r="F20" i="20" s="1"/>
  <c r="G20" i="20" s="1"/>
  <c r="H20" i="20" s="1"/>
  <c r="I20" i="20" s="1"/>
  <c r="L20" i="20" s="1"/>
  <c r="O20" i="20" s="1"/>
  <c r="E52" i="20"/>
  <c r="F52" i="20" s="1"/>
  <c r="G52" i="20" s="1"/>
  <c r="H52" i="20" s="1"/>
  <c r="I52" i="20" s="1"/>
  <c r="E84" i="20"/>
  <c r="F84" i="20" s="1"/>
  <c r="G84" i="20" s="1"/>
  <c r="H84" i="20" s="1"/>
  <c r="I84" i="20" s="1"/>
  <c r="F118" i="20"/>
  <c r="G118" i="20" s="1"/>
  <c r="H118" i="20" s="1"/>
  <c r="I118" i="20" s="1"/>
  <c r="E13" i="22"/>
  <c r="E12" i="20"/>
  <c r="E44" i="20"/>
  <c r="F44" i="20" s="1"/>
  <c r="G44" i="20" s="1"/>
  <c r="H44" i="20" s="1"/>
  <c r="I44" i="20" s="1"/>
  <c r="E76" i="20"/>
  <c r="F76" i="20" s="1"/>
  <c r="G76" i="20" s="1"/>
  <c r="H76" i="20" s="1"/>
  <c r="I76" i="20" s="1"/>
  <c r="E119" i="20"/>
  <c r="F119" i="20" s="1"/>
  <c r="G119" i="20" s="1"/>
  <c r="H119" i="20" s="1"/>
  <c r="I119" i="20" s="1"/>
  <c r="F12" i="20"/>
  <c r="G12" i="20" s="1"/>
  <c r="H12" i="20" s="1"/>
  <c r="I12" i="20" s="1"/>
  <c r="E29" i="22"/>
  <c r="F65" i="6"/>
  <c r="G65" i="6" s="1"/>
  <c r="F85" i="6"/>
  <c r="G85" i="6" s="1"/>
  <c r="F103" i="20"/>
  <c r="G103" i="20" s="1"/>
  <c r="H103" i="20" s="1"/>
  <c r="I103" i="20" s="1"/>
  <c r="F10" i="6"/>
  <c r="G10" i="6" s="1"/>
  <c r="F50" i="6"/>
  <c r="G50" i="6" s="1"/>
  <c r="F70" i="6"/>
  <c r="G70" i="6" s="1"/>
  <c r="F74" i="6"/>
  <c r="G74" i="6" s="1"/>
  <c r="F82" i="6"/>
  <c r="G82" i="6" s="1"/>
  <c r="F104" i="6"/>
  <c r="G104" i="6" s="1"/>
  <c r="F108" i="6"/>
  <c r="G108" i="6" s="1"/>
  <c r="F116" i="6"/>
  <c r="G116" i="6" s="1"/>
  <c r="F120" i="6"/>
  <c r="G120" i="6" s="1"/>
  <c r="F124" i="6"/>
  <c r="G124" i="6" s="1"/>
  <c r="F129" i="6"/>
  <c r="G129" i="6" s="1"/>
  <c r="D38" i="20"/>
  <c r="F38" i="20" s="1"/>
  <c r="G38" i="20" s="1"/>
  <c r="H38" i="20" s="1"/>
  <c r="I38" i="20" s="1"/>
  <c r="E38" i="20"/>
  <c r="D70" i="20"/>
  <c r="E70" i="20"/>
  <c r="D115" i="20"/>
  <c r="E115" i="20"/>
  <c r="N25" i="4"/>
  <c r="S25" i="4" s="1"/>
  <c r="N45" i="4"/>
  <c r="S45" i="4" s="1"/>
  <c r="R129" i="4"/>
  <c r="D30" i="20"/>
  <c r="E30" i="20"/>
  <c r="D62" i="20"/>
  <c r="E62" i="20"/>
  <c r="D107" i="20"/>
  <c r="E107" i="20"/>
  <c r="R33" i="4"/>
  <c r="R73" i="4"/>
  <c r="D22" i="20"/>
  <c r="E22" i="20"/>
  <c r="D54" i="20"/>
  <c r="E54" i="20"/>
  <c r="D86" i="20"/>
  <c r="E86" i="20"/>
  <c r="D99" i="20"/>
  <c r="F99" i="20" s="1"/>
  <c r="G99" i="20" s="1"/>
  <c r="H99" i="20" s="1"/>
  <c r="I99" i="20" s="1"/>
  <c r="E99" i="20"/>
  <c r="R57" i="4"/>
  <c r="R72" i="4"/>
  <c r="R76" i="4"/>
  <c r="D14" i="20"/>
  <c r="F14" i="20" s="1"/>
  <c r="G14" i="20" s="1"/>
  <c r="H14" i="20" s="1"/>
  <c r="I14" i="20" s="1"/>
  <c r="E14" i="20"/>
  <c r="D46" i="20"/>
  <c r="E46" i="20"/>
  <c r="D78" i="20"/>
  <c r="E78" i="20"/>
  <c r="F112" i="20"/>
  <c r="G112" i="20" s="1"/>
  <c r="H112" i="20" s="1"/>
  <c r="I112" i="20" s="1"/>
  <c r="E121" i="20"/>
  <c r="F121" i="20" s="1"/>
  <c r="G121" i="20" s="1"/>
  <c r="H121" i="20" s="1"/>
  <c r="I121" i="20" s="1"/>
  <c r="E127" i="20"/>
  <c r="F127" i="20" s="1"/>
  <c r="G127" i="20" s="1"/>
  <c r="H127" i="20" s="1"/>
  <c r="I127" i="20" s="1"/>
  <c r="D36" i="27" s="1"/>
  <c r="H38" i="22"/>
  <c r="G38" i="22" s="1"/>
  <c r="E18" i="20"/>
  <c r="F18" i="20" s="1"/>
  <c r="G18" i="20" s="1"/>
  <c r="H18" i="20" s="1"/>
  <c r="I18" i="20" s="1"/>
  <c r="L18" i="20" s="1"/>
  <c r="O18" i="20" s="1"/>
  <c r="E26" i="20"/>
  <c r="F26" i="20" s="1"/>
  <c r="G26" i="20" s="1"/>
  <c r="H26" i="20" s="1"/>
  <c r="I26" i="20" s="1"/>
  <c r="E34" i="20"/>
  <c r="F34" i="20" s="1"/>
  <c r="G34" i="20" s="1"/>
  <c r="H34" i="20" s="1"/>
  <c r="I34" i="20" s="1"/>
  <c r="E42" i="20"/>
  <c r="F42" i="20" s="1"/>
  <c r="G42" i="20" s="1"/>
  <c r="H42" i="20" s="1"/>
  <c r="I42" i="20" s="1"/>
  <c r="E50" i="20"/>
  <c r="F50" i="20" s="1"/>
  <c r="G50" i="20" s="1"/>
  <c r="H50" i="20" s="1"/>
  <c r="I50" i="20" s="1"/>
  <c r="E58" i="20"/>
  <c r="F58" i="20" s="1"/>
  <c r="G58" i="20" s="1"/>
  <c r="H58" i="20" s="1"/>
  <c r="I58" i="20" s="1"/>
  <c r="E66" i="20"/>
  <c r="F66" i="20" s="1"/>
  <c r="G66" i="20" s="1"/>
  <c r="H66" i="20" s="1"/>
  <c r="I66" i="20" s="1"/>
  <c r="E74" i="20"/>
  <c r="F74" i="20" s="1"/>
  <c r="G74" i="20" s="1"/>
  <c r="H74" i="20" s="1"/>
  <c r="I74" i="20" s="1"/>
  <c r="E82" i="20"/>
  <c r="F82" i="20" s="1"/>
  <c r="G82" i="20" s="1"/>
  <c r="H82" i="20" s="1"/>
  <c r="I82" i="20" s="1"/>
  <c r="E90" i="20"/>
  <c r="F90" i="20" s="1"/>
  <c r="G90" i="20" s="1"/>
  <c r="H90" i="20" s="1"/>
  <c r="I90" i="20" s="1"/>
  <c r="E103" i="20"/>
  <c r="E111" i="20"/>
  <c r="E125" i="20"/>
  <c r="F125" i="20" s="1"/>
  <c r="G125" i="20" s="1"/>
  <c r="H125" i="20" s="1"/>
  <c r="I125" i="20" s="1"/>
  <c r="G13" i="22"/>
  <c r="E14" i="22"/>
  <c r="H21" i="22"/>
  <c r="G21" i="22" s="1"/>
  <c r="G28" i="22"/>
  <c r="H36" i="22"/>
  <c r="G36" i="22" s="1"/>
  <c r="E37" i="22"/>
  <c r="E129" i="22"/>
  <c r="F13" i="20"/>
  <c r="G13" i="20" s="1"/>
  <c r="H13" i="20" s="1"/>
  <c r="I13" i="20" s="1"/>
  <c r="E16" i="20"/>
  <c r="F16" i="20" s="1"/>
  <c r="G16" i="20" s="1"/>
  <c r="H16" i="20" s="1"/>
  <c r="I16" i="20" s="1"/>
  <c r="L16" i="20" s="1"/>
  <c r="O16" i="20" s="1"/>
  <c r="F21" i="20"/>
  <c r="G21" i="20" s="1"/>
  <c r="H21" i="20" s="1"/>
  <c r="I21" i="20" s="1"/>
  <c r="E24" i="20"/>
  <c r="F24" i="20" s="1"/>
  <c r="G24" i="20" s="1"/>
  <c r="H24" i="20" s="1"/>
  <c r="I24" i="20" s="1"/>
  <c r="F29" i="20"/>
  <c r="G29" i="20" s="1"/>
  <c r="H29" i="20" s="1"/>
  <c r="I29" i="20" s="1"/>
  <c r="E32" i="20"/>
  <c r="F32" i="20" s="1"/>
  <c r="G32" i="20" s="1"/>
  <c r="H32" i="20" s="1"/>
  <c r="I32" i="20" s="1"/>
  <c r="F37" i="20"/>
  <c r="G37" i="20" s="1"/>
  <c r="H37" i="20" s="1"/>
  <c r="I37" i="20" s="1"/>
  <c r="E40" i="20"/>
  <c r="F40" i="20" s="1"/>
  <c r="G40" i="20" s="1"/>
  <c r="H40" i="20" s="1"/>
  <c r="I40" i="20" s="1"/>
  <c r="E48" i="20"/>
  <c r="F48" i="20" s="1"/>
  <c r="G48" i="20" s="1"/>
  <c r="H48" i="20" s="1"/>
  <c r="I48" i="20" s="1"/>
  <c r="E56" i="20"/>
  <c r="F56" i="20" s="1"/>
  <c r="G56" i="20" s="1"/>
  <c r="H56" i="20" s="1"/>
  <c r="I56" i="20" s="1"/>
  <c r="E64" i="20"/>
  <c r="F64" i="20" s="1"/>
  <c r="G64" i="20" s="1"/>
  <c r="H64" i="20" s="1"/>
  <c r="I64" i="20" s="1"/>
  <c r="F68" i="20"/>
  <c r="G68" i="20" s="1"/>
  <c r="H68" i="20" s="1"/>
  <c r="I68" i="20" s="1"/>
  <c r="E72" i="20"/>
  <c r="F72" i="20" s="1"/>
  <c r="G72" i="20" s="1"/>
  <c r="H72" i="20" s="1"/>
  <c r="I72" i="20" s="1"/>
  <c r="E80" i="20"/>
  <c r="F85" i="20"/>
  <c r="G85" i="20" s="1"/>
  <c r="H85" i="20" s="1"/>
  <c r="I85" i="20" s="1"/>
  <c r="E88" i="20"/>
  <c r="F88" i="20" s="1"/>
  <c r="G88" i="20" s="1"/>
  <c r="H88" i="20" s="1"/>
  <c r="I88" i="20" s="1"/>
  <c r="E101" i="20"/>
  <c r="F101" i="20" s="1"/>
  <c r="G101" i="20" s="1"/>
  <c r="H101" i="20" s="1"/>
  <c r="I101" i="20" s="1"/>
  <c r="E109" i="20"/>
  <c r="F109" i="20" s="1"/>
  <c r="G109" i="20" s="1"/>
  <c r="H109" i="20" s="1"/>
  <c r="I109" i="20" s="1"/>
  <c r="F113" i="20"/>
  <c r="G113" i="20" s="1"/>
  <c r="H113" i="20" s="1"/>
  <c r="I113" i="20" s="1"/>
  <c r="E117" i="20"/>
  <c r="F117" i="20" s="1"/>
  <c r="G117" i="20" s="1"/>
  <c r="H117" i="20" s="1"/>
  <c r="I117" i="20" s="1"/>
  <c r="E123" i="20"/>
  <c r="F123" i="20" s="1"/>
  <c r="G123" i="20" s="1"/>
  <c r="H123" i="20" s="1"/>
  <c r="I123" i="20" s="1"/>
  <c r="L123" i="20" s="1"/>
  <c r="E129" i="20"/>
  <c r="G14" i="22"/>
  <c r="E21" i="22"/>
  <c r="E126" i="22"/>
  <c r="R80" i="4"/>
  <c r="R83" i="4"/>
  <c r="R101" i="4"/>
  <c r="R105" i="4"/>
  <c r="R112" i="4"/>
  <c r="E15" i="20"/>
  <c r="F15" i="20" s="1"/>
  <c r="G15" i="20" s="1"/>
  <c r="H15" i="20" s="1"/>
  <c r="I15" i="20" s="1"/>
  <c r="E19" i="20"/>
  <c r="F19" i="20" s="1"/>
  <c r="G19" i="20" s="1"/>
  <c r="H19" i="20" s="1"/>
  <c r="I19" i="20" s="1"/>
  <c r="E23" i="20"/>
  <c r="F23" i="20" s="1"/>
  <c r="G23" i="20" s="1"/>
  <c r="H23" i="20" s="1"/>
  <c r="I23" i="20" s="1"/>
  <c r="E27" i="20"/>
  <c r="F27" i="20" s="1"/>
  <c r="G27" i="20" s="1"/>
  <c r="H27" i="20" s="1"/>
  <c r="I27" i="20" s="1"/>
  <c r="E31" i="20"/>
  <c r="F31" i="20" s="1"/>
  <c r="G31" i="20" s="1"/>
  <c r="H31" i="20" s="1"/>
  <c r="I31" i="20" s="1"/>
  <c r="E35" i="20"/>
  <c r="F35" i="20" s="1"/>
  <c r="G35" i="20" s="1"/>
  <c r="H35" i="20" s="1"/>
  <c r="I35" i="20" s="1"/>
  <c r="E39" i="20"/>
  <c r="F39" i="20" s="1"/>
  <c r="G39" i="20" s="1"/>
  <c r="H39" i="20" s="1"/>
  <c r="I39" i="20" s="1"/>
  <c r="L39" i="20" s="1"/>
  <c r="O39" i="20" s="1"/>
  <c r="E43" i="20"/>
  <c r="F43" i="20" s="1"/>
  <c r="G43" i="20" s="1"/>
  <c r="H43" i="20" s="1"/>
  <c r="I43" i="20" s="1"/>
  <c r="E47" i="20"/>
  <c r="F47" i="20" s="1"/>
  <c r="G47" i="20" s="1"/>
  <c r="H47" i="20" s="1"/>
  <c r="I47" i="20" s="1"/>
  <c r="E51" i="20"/>
  <c r="F51" i="20" s="1"/>
  <c r="G51" i="20" s="1"/>
  <c r="H51" i="20" s="1"/>
  <c r="I51" i="20" s="1"/>
  <c r="E55" i="20"/>
  <c r="F55" i="20" s="1"/>
  <c r="G55" i="20" s="1"/>
  <c r="H55" i="20" s="1"/>
  <c r="I55" i="20" s="1"/>
  <c r="L55" i="20" s="1"/>
  <c r="O55" i="20" s="1"/>
  <c r="E59" i="20"/>
  <c r="F59" i="20" s="1"/>
  <c r="G59" i="20" s="1"/>
  <c r="H59" i="20" s="1"/>
  <c r="I59" i="20" s="1"/>
  <c r="E63" i="20"/>
  <c r="F63" i="20" s="1"/>
  <c r="G63" i="20" s="1"/>
  <c r="H63" i="20" s="1"/>
  <c r="I63" i="20" s="1"/>
  <c r="E67" i="20"/>
  <c r="F67" i="20" s="1"/>
  <c r="G67" i="20" s="1"/>
  <c r="H67" i="20" s="1"/>
  <c r="I67" i="20" s="1"/>
  <c r="E71" i="20"/>
  <c r="F71" i="20" s="1"/>
  <c r="G71" i="20" s="1"/>
  <c r="H71" i="20" s="1"/>
  <c r="I71" i="20" s="1"/>
  <c r="E75" i="20"/>
  <c r="F75" i="20" s="1"/>
  <c r="G75" i="20" s="1"/>
  <c r="H75" i="20" s="1"/>
  <c r="I75" i="20" s="1"/>
  <c r="E79" i="20"/>
  <c r="F79" i="20" s="1"/>
  <c r="G79" i="20" s="1"/>
  <c r="H79" i="20" s="1"/>
  <c r="I79" i="20" s="1"/>
  <c r="L79" i="20" s="1"/>
  <c r="O79" i="20" s="1"/>
  <c r="E83" i="20"/>
  <c r="F83" i="20" s="1"/>
  <c r="G83" i="20" s="1"/>
  <c r="H83" i="20" s="1"/>
  <c r="I83" i="20" s="1"/>
  <c r="E87" i="20"/>
  <c r="F87" i="20" s="1"/>
  <c r="G87" i="20" s="1"/>
  <c r="H87" i="20" s="1"/>
  <c r="I87" i="20" s="1"/>
  <c r="E102" i="20"/>
  <c r="F102" i="20" s="1"/>
  <c r="G102" i="20" s="1"/>
  <c r="H102" i="20" s="1"/>
  <c r="I102" i="20" s="1"/>
  <c r="E106" i="20"/>
  <c r="F106" i="20" s="1"/>
  <c r="G106" i="20" s="1"/>
  <c r="H106" i="20" s="1"/>
  <c r="I106" i="20" s="1"/>
  <c r="E110" i="20"/>
  <c r="F110" i="20" s="1"/>
  <c r="G110" i="20" s="1"/>
  <c r="H110" i="20" s="1"/>
  <c r="I110" i="20" s="1"/>
  <c r="E114" i="20"/>
  <c r="F114" i="20" s="1"/>
  <c r="G114" i="20" s="1"/>
  <c r="H114" i="20" s="1"/>
  <c r="I114" i="20" s="1"/>
  <c r="E118" i="20"/>
  <c r="E122" i="20"/>
  <c r="F122" i="20" s="1"/>
  <c r="G122" i="20" s="1"/>
  <c r="H122" i="20" s="1"/>
  <c r="I122" i="20" s="1"/>
  <c r="E126" i="20"/>
  <c r="G12" i="22"/>
  <c r="E7" i="20"/>
  <c r="F7" i="20" s="1"/>
  <c r="G7" i="20" s="1"/>
  <c r="H7" i="20" s="1"/>
  <c r="I7" i="20" s="1"/>
  <c r="E8" i="20"/>
  <c r="F8" i="20" s="1"/>
  <c r="G8" i="20" s="1"/>
  <c r="H8" i="20" s="1"/>
  <c r="I8" i="20" s="1"/>
  <c r="E9" i="20"/>
  <c r="F9" i="20" s="1"/>
  <c r="G9" i="20" s="1"/>
  <c r="H9" i="20" s="1"/>
  <c r="I9" i="20" s="1"/>
  <c r="E10" i="20"/>
  <c r="F10" i="20" s="1"/>
  <c r="G10" i="20" s="1"/>
  <c r="H10" i="20" s="1"/>
  <c r="I10" i="20" s="1"/>
  <c r="E11" i="20"/>
  <c r="F11" i="20" s="1"/>
  <c r="G11" i="20" s="1"/>
  <c r="H11" i="20" s="1"/>
  <c r="I11" i="20" s="1"/>
  <c r="E13" i="20"/>
  <c r="E17" i="20"/>
  <c r="F17" i="20" s="1"/>
  <c r="G17" i="20" s="1"/>
  <c r="H17" i="20" s="1"/>
  <c r="I17" i="20" s="1"/>
  <c r="L17" i="20" s="1"/>
  <c r="O17" i="20" s="1"/>
  <c r="E21" i="20"/>
  <c r="E25" i="20"/>
  <c r="F25" i="20" s="1"/>
  <c r="G25" i="20" s="1"/>
  <c r="H25" i="20" s="1"/>
  <c r="I25" i="20" s="1"/>
  <c r="E29" i="20"/>
  <c r="E33" i="20"/>
  <c r="F33" i="20" s="1"/>
  <c r="G33" i="20" s="1"/>
  <c r="H33" i="20" s="1"/>
  <c r="I33" i="20" s="1"/>
  <c r="E37" i="20"/>
  <c r="E41" i="20"/>
  <c r="F41" i="20" s="1"/>
  <c r="G41" i="20" s="1"/>
  <c r="H41" i="20" s="1"/>
  <c r="I41" i="20" s="1"/>
  <c r="L41" i="20" s="1"/>
  <c r="O41" i="20" s="1"/>
  <c r="E45" i="20"/>
  <c r="F45" i="20" s="1"/>
  <c r="G45" i="20" s="1"/>
  <c r="H45" i="20" s="1"/>
  <c r="I45" i="20" s="1"/>
  <c r="E49" i="20"/>
  <c r="F49" i="20" s="1"/>
  <c r="G49" i="20" s="1"/>
  <c r="H49" i="20" s="1"/>
  <c r="I49" i="20" s="1"/>
  <c r="E53" i="20"/>
  <c r="F53" i="20" s="1"/>
  <c r="G53" i="20" s="1"/>
  <c r="H53" i="20" s="1"/>
  <c r="I53" i="20" s="1"/>
  <c r="E57" i="20"/>
  <c r="F57" i="20" s="1"/>
  <c r="G57" i="20" s="1"/>
  <c r="H57" i="20" s="1"/>
  <c r="I57" i="20" s="1"/>
  <c r="E61" i="20"/>
  <c r="F61" i="20" s="1"/>
  <c r="G61" i="20" s="1"/>
  <c r="H61" i="20" s="1"/>
  <c r="I61" i="20" s="1"/>
  <c r="E65" i="20"/>
  <c r="F65" i="20" s="1"/>
  <c r="G65" i="20" s="1"/>
  <c r="H65" i="20" s="1"/>
  <c r="I65" i="20" s="1"/>
  <c r="E69" i="20"/>
  <c r="F69" i="20" s="1"/>
  <c r="G69" i="20" s="1"/>
  <c r="H69" i="20" s="1"/>
  <c r="I69" i="20" s="1"/>
  <c r="E73" i="20"/>
  <c r="F73" i="20" s="1"/>
  <c r="G73" i="20" s="1"/>
  <c r="H73" i="20" s="1"/>
  <c r="I73" i="20" s="1"/>
  <c r="E77" i="20"/>
  <c r="F77" i="20" s="1"/>
  <c r="G77" i="20" s="1"/>
  <c r="H77" i="20" s="1"/>
  <c r="I77" i="20" s="1"/>
  <c r="E81" i="20"/>
  <c r="E85" i="20"/>
  <c r="E89" i="20"/>
  <c r="E100" i="20"/>
  <c r="F100" i="20" s="1"/>
  <c r="G100" i="20" s="1"/>
  <c r="H100" i="20" s="1"/>
  <c r="I100" i="20" s="1"/>
  <c r="E104" i="20"/>
  <c r="F104" i="20" s="1"/>
  <c r="G104" i="20" s="1"/>
  <c r="H104" i="20" s="1"/>
  <c r="I104" i="20" s="1"/>
  <c r="E108" i="20"/>
  <c r="F108" i="20" s="1"/>
  <c r="G108" i="20" s="1"/>
  <c r="H108" i="20" s="1"/>
  <c r="I108" i="20" s="1"/>
  <c r="E112" i="20"/>
  <c r="E116" i="20"/>
  <c r="F116" i="20" s="1"/>
  <c r="G116" i="20" s="1"/>
  <c r="H116" i="20" s="1"/>
  <c r="I116" i="20" s="1"/>
  <c r="E120" i="20"/>
  <c r="F120" i="20" s="1"/>
  <c r="G120" i="20" s="1"/>
  <c r="H120" i="20" s="1"/>
  <c r="I120" i="20" s="1"/>
  <c r="E124" i="20"/>
  <c r="F124" i="20" s="1"/>
  <c r="G124" i="20" s="1"/>
  <c r="H124" i="20" s="1"/>
  <c r="I124" i="20" s="1"/>
  <c r="E128" i="20"/>
  <c r="F128" i="20" s="1"/>
  <c r="G128" i="20" s="1"/>
  <c r="H128" i="20" s="1"/>
  <c r="I128" i="20" s="1"/>
  <c r="F12" i="22"/>
  <c r="F13" i="22"/>
  <c r="F14" i="22"/>
  <c r="F21" i="22"/>
  <c r="F28" i="22"/>
  <c r="H29" i="22"/>
  <c r="G29" i="22" s="1"/>
  <c r="H37" i="22"/>
  <c r="G37" i="22" s="1"/>
  <c r="E40" i="22"/>
  <c r="E80" i="22"/>
  <c r="G80" i="22"/>
  <c r="E81" i="22"/>
  <c r="E89" i="22"/>
  <c r="E85" i="22"/>
  <c r="E38" i="22"/>
  <c r="H40" i="22"/>
  <c r="G40" i="22" s="1"/>
  <c r="F80" i="22"/>
  <c r="H81" i="22"/>
  <c r="G81" i="22" s="1"/>
  <c r="H89" i="22"/>
  <c r="G89" i="22" s="1"/>
  <c r="H99" i="22"/>
  <c r="G99" i="22" s="1"/>
  <c r="G111" i="22"/>
  <c r="G112" i="22"/>
  <c r="H118" i="22"/>
  <c r="G118" i="22" s="1"/>
  <c r="F111" i="22"/>
  <c r="F112" i="22"/>
  <c r="E111" i="22"/>
  <c r="E112" i="22"/>
  <c r="F118" i="22"/>
  <c r="H126" i="22"/>
  <c r="G126" i="22" s="1"/>
  <c r="E118" i="22"/>
  <c r="F126" i="22"/>
  <c r="H129" i="22"/>
  <c r="G129" i="22" s="1"/>
  <c r="F129" i="22"/>
  <c r="AE85" i="22" l="1"/>
  <c r="AD85" i="22"/>
  <c r="AC85" i="22"/>
  <c r="AB85" i="22"/>
  <c r="AE126" i="22"/>
  <c r="AD126" i="22"/>
  <c r="AC126" i="22"/>
  <c r="AB126" i="22"/>
  <c r="AB38" i="22"/>
  <c r="AC38" i="22"/>
  <c r="AE38" i="22"/>
  <c r="AD38" i="22"/>
  <c r="AD21" i="22"/>
  <c r="AC21" i="22"/>
  <c r="AB21" i="22"/>
  <c r="AE21" i="22"/>
  <c r="AE129" i="22"/>
  <c r="AD129" i="22"/>
  <c r="AB129" i="22"/>
  <c r="AC129" i="22"/>
  <c r="AD29" i="22"/>
  <c r="AC29" i="22"/>
  <c r="AB29" i="22"/>
  <c r="AE29" i="22"/>
  <c r="AD37" i="22"/>
  <c r="AC37" i="22"/>
  <c r="AB37" i="22"/>
  <c r="AE37" i="22"/>
  <c r="AE89" i="22"/>
  <c r="AD89" i="22"/>
  <c r="AC89" i="22"/>
  <c r="AB89" i="22"/>
  <c r="AE81" i="22"/>
  <c r="AD81" i="22"/>
  <c r="AB81" i="22"/>
  <c r="AC81" i="22"/>
  <c r="AC118" i="22"/>
  <c r="AD118" i="22"/>
  <c r="AB118" i="22"/>
  <c r="AE118" i="22"/>
  <c r="AE112" i="22"/>
  <c r="AD112" i="22"/>
  <c r="AC112" i="22"/>
  <c r="AB112" i="22"/>
  <c r="AE111" i="22"/>
  <c r="AC111" i="22"/>
  <c r="AD111" i="22"/>
  <c r="AB111" i="22"/>
  <c r="AE80" i="22"/>
  <c r="AD80" i="22"/>
  <c r="AC80" i="22"/>
  <c r="AB80" i="22"/>
  <c r="AB14" i="22"/>
  <c r="AC14" i="22"/>
  <c r="AE14" i="22"/>
  <c r="AD14" i="22"/>
  <c r="AB12" i="22"/>
  <c r="AE12" i="22"/>
  <c r="AD12" i="22"/>
  <c r="AC12" i="22"/>
  <c r="AB40" i="22"/>
  <c r="AE40" i="22"/>
  <c r="AD40" i="22"/>
  <c r="AC40" i="22"/>
  <c r="AD13" i="22"/>
  <c r="AC13" i="22"/>
  <c r="AB13" i="22"/>
  <c r="AE13" i="22"/>
  <c r="F122" i="18"/>
  <c r="F57" i="18"/>
  <c r="F23" i="18"/>
  <c r="G23" i="18" s="1"/>
  <c r="B31" i="6"/>
  <c r="F31" i="6" s="1"/>
  <c r="G31" i="6" s="1"/>
  <c r="AD31" i="19"/>
  <c r="AD80" i="19"/>
  <c r="C40" i="6"/>
  <c r="AD73" i="19"/>
  <c r="B13" i="6"/>
  <c r="F13" i="6" s="1"/>
  <c r="G13" i="6" s="1"/>
  <c r="AD112" i="19"/>
  <c r="AD90" i="19"/>
  <c r="AD89" i="19"/>
  <c r="AD38" i="19"/>
  <c r="T48" i="17"/>
  <c r="J68" i="20" s="1"/>
  <c r="M68" i="20" s="1"/>
  <c r="F75" i="18"/>
  <c r="G75" i="18" s="1"/>
  <c r="F34" i="18"/>
  <c r="F58" i="18"/>
  <c r="G58" i="18" s="1"/>
  <c r="F65" i="18"/>
  <c r="G65" i="18" s="1"/>
  <c r="F36" i="18"/>
  <c r="G36" i="18" s="1"/>
  <c r="B32" i="24" s="1"/>
  <c r="F76" i="18"/>
  <c r="G76" i="18" s="1"/>
  <c r="F77" i="18"/>
  <c r="G77" i="18" s="1"/>
  <c r="F108" i="18"/>
  <c r="G108" i="18" s="1"/>
  <c r="F29" i="18"/>
  <c r="I29" i="18" s="1"/>
  <c r="F125" i="18"/>
  <c r="G125" i="18" s="1"/>
  <c r="F42" i="18"/>
  <c r="F90" i="18"/>
  <c r="G90" i="18" s="1"/>
  <c r="F74" i="18"/>
  <c r="G74" i="18" s="1"/>
  <c r="F24" i="18"/>
  <c r="G24" i="18" s="1"/>
  <c r="F72" i="18"/>
  <c r="G72" i="18" s="1"/>
  <c r="F49" i="18"/>
  <c r="F73" i="18"/>
  <c r="F89" i="18"/>
  <c r="G89" i="18" s="1"/>
  <c r="F48" i="18"/>
  <c r="G48" i="18" s="1"/>
  <c r="F64" i="18"/>
  <c r="G64" i="18" s="1"/>
  <c r="F113" i="18"/>
  <c r="G113" i="18" s="1"/>
  <c r="F46" i="18"/>
  <c r="G46" i="18" s="1"/>
  <c r="F110" i="18"/>
  <c r="G110" i="18" s="1"/>
  <c r="F30" i="18"/>
  <c r="F116" i="18"/>
  <c r="G116" i="18" s="1"/>
  <c r="F38" i="18"/>
  <c r="G38" i="18" s="1"/>
  <c r="F117" i="18"/>
  <c r="G117" i="18" s="1"/>
  <c r="F21" i="18"/>
  <c r="F13" i="18"/>
  <c r="F26" i="18"/>
  <c r="F27" i="18"/>
  <c r="G27" i="18" s="1"/>
  <c r="F59" i="18"/>
  <c r="G59" i="18" s="1"/>
  <c r="F10" i="18"/>
  <c r="G10" i="18" s="1"/>
  <c r="F25" i="18"/>
  <c r="G25" i="18" s="1"/>
  <c r="F51" i="18"/>
  <c r="G51" i="18" s="1"/>
  <c r="F123" i="18"/>
  <c r="G123" i="18" s="1"/>
  <c r="F115" i="18"/>
  <c r="G115" i="18" s="1"/>
  <c r="F31" i="18"/>
  <c r="G31" i="18" s="1"/>
  <c r="F15" i="18"/>
  <c r="G15" i="18" s="1"/>
  <c r="F47" i="18"/>
  <c r="G47" i="18" s="1"/>
  <c r="B43" i="24" s="1"/>
  <c r="C112" i="6"/>
  <c r="C15" i="27"/>
  <c r="G122" i="18"/>
  <c r="G45" i="18"/>
  <c r="G69" i="18"/>
  <c r="G16" i="18"/>
  <c r="G20" i="18"/>
  <c r="I97" i="18"/>
  <c r="I92" i="18"/>
  <c r="I93" i="18"/>
  <c r="I91" i="18"/>
  <c r="I96" i="18"/>
  <c r="I94" i="18"/>
  <c r="I95" i="18"/>
  <c r="C31" i="6"/>
  <c r="L127" i="20"/>
  <c r="B107" i="6"/>
  <c r="F107" i="6" s="1"/>
  <c r="G107" i="6" s="1"/>
  <c r="J119" i="20"/>
  <c r="M119" i="20" s="1"/>
  <c r="J52" i="20"/>
  <c r="M52" i="20" s="1"/>
  <c r="J36" i="20"/>
  <c r="M36" i="20" s="1"/>
  <c r="G99" i="18"/>
  <c r="B95" i="24" s="1"/>
  <c r="I11" i="18"/>
  <c r="I43" i="18"/>
  <c r="I8" i="18"/>
  <c r="I40" i="18"/>
  <c r="B36" i="24" s="1"/>
  <c r="I7" i="18"/>
  <c r="B3" i="24" s="1"/>
  <c r="I12" i="18"/>
  <c r="J12" i="18" s="1"/>
  <c r="I14" i="18"/>
  <c r="B10" i="24" s="1"/>
  <c r="I22" i="18"/>
  <c r="I83" i="18"/>
  <c r="I98" i="18"/>
  <c r="I106" i="18"/>
  <c r="I85" i="18"/>
  <c r="I100" i="18"/>
  <c r="B96" i="24" s="1"/>
  <c r="I82" i="18"/>
  <c r="I71" i="18"/>
  <c r="I87" i="18"/>
  <c r="B83" i="24" s="1"/>
  <c r="I68" i="18"/>
  <c r="B64" i="24" s="1"/>
  <c r="I84" i="18"/>
  <c r="I107" i="18"/>
  <c r="B103" i="24" s="1"/>
  <c r="I104" i="18"/>
  <c r="I70" i="18"/>
  <c r="B66" i="24" s="1"/>
  <c r="I63" i="18"/>
  <c r="B59" i="24" s="1"/>
  <c r="I61" i="18"/>
  <c r="B57" i="24" s="1"/>
  <c r="J111" i="20"/>
  <c r="M111" i="20" s="1"/>
  <c r="J103" i="20"/>
  <c r="M103" i="20" s="1"/>
  <c r="J44" i="20"/>
  <c r="M44" i="20" s="1"/>
  <c r="J118" i="20"/>
  <c r="M118" i="20" s="1"/>
  <c r="J28" i="20"/>
  <c r="M28" i="20" s="1"/>
  <c r="J129" i="20"/>
  <c r="M129" i="20" s="1"/>
  <c r="J80" i="20"/>
  <c r="M80" i="20" s="1"/>
  <c r="J29" i="20"/>
  <c r="M29" i="20" s="1"/>
  <c r="J13" i="20"/>
  <c r="M13" i="20" s="1"/>
  <c r="J84" i="20"/>
  <c r="M84" i="20" s="1"/>
  <c r="J126" i="20"/>
  <c r="M126" i="20" s="1"/>
  <c r="J89" i="20"/>
  <c r="M89" i="20" s="1"/>
  <c r="J113" i="20"/>
  <c r="M113" i="20" s="1"/>
  <c r="J85" i="20"/>
  <c r="M85" i="20" s="1"/>
  <c r="J37" i="20"/>
  <c r="M37" i="20" s="1"/>
  <c r="J112" i="20"/>
  <c r="M112" i="20" s="1"/>
  <c r="J76" i="20"/>
  <c r="M76" i="20" s="1"/>
  <c r="J20" i="20"/>
  <c r="M20" i="20" s="1"/>
  <c r="J60" i="20"/>
  <c r="M60" i="20" s="1"/>
  <c r="I111" i="18"/>
  <c r="I28" i="18"/>
  <c r="B24" i="24" s="1"/>
  <c r="I79" i="18"/>
  <c r="B75" i="24" s="1"/>
  <c r="I16" i="18"/>
  <c r="I35" i="18"/>
  <c r="I55" i="18"/>
  <c r="B51" i="24" s="1"/>
  <c r="I41" i="18"/>
  <c r="B37" i="24" s="1"/>
  <c r="I81" i="18"/>
  <c r="B77" i="24" s="1"/>
  <c r="I33" i="18"/>
  <c r="I109" i="18"/>
  <c r="B105" i="24" s="1"/>
  <c r="J12" i="20"/>
  <c r="M12" i="20" s="1"/>
  <c r="C90" i="6"/>
  <c r="B90" i="6"/>
  <c r="F90" i="6" s="1"/>
  <c r="G90" i="6" s="1"/>
  <c r="C80" i="6"/>
  <c r="B80" i="6"/>
  <c r="F80" i="6" s="1"/>
  <c r="G80" i="6" s="1"/>
  <c r="C66" i="6"/>
  <c r="B66" i="6"/>
  <c r="F66" i="6" s="1"/>
  <c r="G66" i="6" s="1"/>
  <c r="C59" i="6"/>
  <c r="B59" i="6"/>
  <c r="F59" i="6" s="1"/>
  <c r="G59" i="6" s="1"/>
  <c r="C67" i="6"/>
  <c r="B67" i="6"/>
  <c r="F67" i="6" s="1"/>
  <c r="G67" i="6" s="1"/>
  <c r="C73" i="6"/>
  <c r="B73" i="6"/>
  <c r="F73" i="6" s="1"/>
  <c r="G73" i="6" s="1"/>
  <c r="C29" i="6"/>
  <c r="B29" i="6"/>
  <c r="F29" i="6" s="1"/>
  <c r="G29" i="6" s="1"/>
  <c r="C89" i="6"/>
  <c r="B89" i="6"/>
  <c r="F89" i="6" s="1"/>
  <c r="G89" i="6" s="1"/>
  <c r="C38" i="6"/>
  <c r="B38" i="6"/>
  <c r="F38" i="6" s="1"/>
  <c r="G38" i="6" s="1"/>
  <c r="C49" i="6"/>
  <c r="B49" i="6"/>
  <c r="F49" i="6" s="1"/>
  <c r="G49" i="6" s="1"/>
  <c r="I19" i="18"/>
  <c r="B15" i="24" s="1"/>
  <c r="I78" i="18"/>
  <c r="B74" i="24" s="1"/>
  <c r="I88" i="18"/>
  <c r="I121" i="18"/>
  <c r="J81" i="20"/>
  <c r="M81" i="20" s="1"/>
  <c r="I103" i="18"/>
  <c r="J103" i="18" s="1"/>
  <c r="I105" i="18"/>
  <c r="I67" i="18"/>
  <c r="B63" i="24" s="1"/>
  <c r="F62" i="20"/>
  <c r="G62" i="20" s="1"/>
  <c r="H62" i="20" s="1"/>
  <c r="I62" i="20" s="1"/>
  <c r="J62" i="20" s="1"/>
  <c r="M62" i="20" s="1"/>
  <c r="F70" i="20"/>
  <c r="G70" i="20" s="1"/>
  <c r="H70" i="20" s="1"/>
  <c r="I70" i="20" s="1"/>
  <c r="I129" i="18"/>
  <c r="B125" i="24" s="1"/>
  <c r="I32" i="18"/>
  <c r="B8" i="24"/>
  <c r="J105" i="20"/>
  <c r="M105" i="20" s="1"/>
  <c r="B94" i="24"/>
  <c r="I101" i="18"/>
  <c r="I86" i="18"/>
  <c r="B82" i="24" s="1"/>
  <c r="I80" i="18"/>
  <c r="B76" i="24" s="1"/>
  <c r="F78" i="20"/>
  <c r="G78" i="20" s="1"/>
  <c r="H78" i="20" s="1"/>
  <c r="I78" i="20" s="1"/>
  <c r="F54" i="20"/>
  <c r="G54" i="20" s="1"/>
  <c r="H54" i="20" s="1"/>
  <c r="I54" i="20" s="1"/>
  <c r="J54" i="20" s="1"/>
  <c r="M54" i="20" s="1"/>
  <c r="J21" i="20"/>
  <c r="M21" i="20" s="1"/>
  <c r="I44" i="18"/>
  <c r="B40" i="24" s="1"/>
  <c r="I112" i="18"/>
  <c r="B108" i="24" s="1"/>
  <c r="I53" i="18"/>
  <c r="I9" i="18"/>
  <c r="F46" i="20"/>
  <c r="G46" i="20" s="1"/>
  <c r="H46" i="20" s="1"/>
  <c r="I46" i="20" s="1"/>
  <c r="J46" i="20" s="1"/>
  <c r="M46" i="20" s="1"/>
  <c r="F30" i="20"/>
  <c r="G30" i="20" s="1"/>
  <c r="H30" i="20" s="1"/>
  <c r="I30" i="20" s="1"/>
  <c r="J30" i="20" s="1"/>
  <c r="M30" i="20" s="1"/>
  <c r="F115" i="20"/>
  <c r="G115" i="20" s="1"/>
  <c r="H115" i="20" s="1"/>
  <c r="I115" i="20" s="1"/>
  <c r="J127" i="20"/>
  <c r="M127" i="20" s="1"/>
  <c r="J38" i="20"/>
  <c r="M38" i="20" s="1"/>
  <c r="I119" i="18"/>
  <c r="F86" i="20"/>
  <c r="G86" i="20" s="1"/>
  <c r="H86" i="20" s="1"/>
  <c r="I86" i="20" s="1"/>
  <c r="F22" i="20"/>
  <c r="G22" i="20" s="1"/>
  <c r="H22" i="20" s="1"/>
  <c r="I22" i="20" s="1"/>
  <c r="J99" i="20"/>
  <c r="M99" i="20" s="1"/>
  <c r="J14" i="20"/>
  <c r="M14" i="20" s="1"/>
  <c r="I102" i="18"/>
  <c r="F107" i="20"/>
  <c r="G107" i="20" s="1"/>
  <c r="H107" i="20" s="1"/>
  <c r="I107" i="20" s="1"/>
  <c r="J107" i="20" s="1"/>
  <c r="M107" i="20" s="1"/>
  <c r="B100" i="24"/>
  <c r="J121" i="20"/>
  <c r="M121" i="20" s="1"/>
  <c r="B39" i="24"/>
  <c r="B78" i="24"/>
  <c r="I124" i="18"/>
  <c r="M99" i="22"/>
  <c r="R99" i="22" s="1"/>
  <c r="N99" i="22"/>
  <c r="B102" i="24"/>
  <c r="B80" i="24"/>
  <c r="E28" i="4"/>
  <c r="J109" i="20"/>
  <c r="M109" i="20" s="1"/>
  <c r="J110" i="20"/>
  <c r="M110" i="20" s="1"/>
  <c r="J72" i="20"/>
  <c r="M72" i="20" s="1"/>
  <c r="J88" i="20"/>
  <c r="M88" i="20" s="1"/>
  <c r="J123" i="20"/>
  <c r="M123" i="20" s="1"/>
  <c r="J40" i="20"/>
  <c r="M40" i="20" s="1"/>
  <c r="J117" i="20"/>
  <c r="M117" i="20" s="1"/>
  <c r="J101" i="20"/>
  <c r="M101" i="20" s="1"/>
  <c r="J64" i="20"/>
  <c r="M64" i="20" s="1"/>
  <c r="J48" i="20"/>
  <c r="M48" i="20" s="1"/>
  <c r="J32" i="20"/>
  <c r="M32" i="20" s="1"/>
  <c r="J82" i="20"/>
  <c r="M82" i="20" s="1"/>
  <c r="J66" i="20"/>
  <c r="M66" i="20" s="1"/>
  <c r="J50" i="20"/>
  <c r="M50" i="20" s="1"/>
  <c r="J34" i="20"/>
  <c r="M34" i="20" s="1"/>
  <c r="J18" i="20"/>
  <c r="M18" i="20" s="1"/>
  <c r="J24" i="20"/>
  <c r="M24" i="20" s="1"/>
  <c r="J125" i="20"/>
  <c r="M125" i="20" s="1"/>
  <c r="J56" i="20"/>
  <c r="M56" i="20" s="1"/>
  <c r="J16" i="20"/>
  <c r="M16" i="20" s="1"/>
  <c r="J90" i="20"/>
  <c r="M90" i="20" s="1"/>
  <c r="J74" i="20"/>
  <c r="M74" i="20" s="1"/>
  <c r="J58" i="20"/>
  <c r="M58" i="20" s="1"/>
  <c r="J42" i="20"/>
  <c r="M42" i="20" s="1"/>
  <c r="J26" i="20"/>
  <c r="M26" i="20" s="1"/>
  <c r="I118" i="18"/>
  <c r="I126" i="18"/>
  <c r="I128" i="18"/>
  <c r="I120" i="18"/>
  <c r="J116" i="20"/>
  <c r="M116" i="20" s="1"/>
  <c r="J100" i="20"/>
  <c r="M100" i="20" s="1"/>
  <c r="J77" i="20"/>
  <c r="M77" i="20" s="1"/>
  <c r="J61" i="20"/>
  <c r="M61" i="20" s="1"/>
  <c r="J45" i="20"/>
  <c r="M45" i="20" s="1"/>
  <c r="J9" i="20"/>
  <c r="M9" i="20" s="1"/>
  <c r="J120" i="20"/>
  <c r="M120" i="20" s="1"/>
  <c r="J17" i="20"/>
  <c r="M17" i="20" s="1"/>
  <c r="J10" i="20"/>
  <c r="M10" i="20" s="1"/>
  <c r="J128" i="20"/>
  <c r="M128" i="20" s="1"/>
  <c r="J73" i="20"/>
  <c r="M73" i="20" s="1"/>
  <c r="J57" i="20"/>
  <c r="M57" i="20" s="1"/>
  <c r="J41" i="20"/>
  <c r="M41" i="20" s="1"/>
  <c r="J25" i="20"/>
  <c r="M25" i="20" s="1"/>
  <c r="J104" i="20"/>
  <c r="M104" i="20" s="1"/>
  <c r="J65" i="20"/>
  <c r="M65" i="20" s="1"/>
  <c r="J49" i="20"/>
  <c r="M49" i="20" s="1"/>
  <c r="J33" i="20"/>
  <c r="M33" i="20" s="1"/>
  <c r="J124" i="20"/>
  <c r="M124" i="20" s="1"/>
  <c r="J108" i="20"/>
  <c r="M108" i="20" s="1"/>
  <c r="J53" i="20"/>
  <c r="M53" i="20" s="1"/>
  <c r="J11" i="20"/>
  <c r="M11" i="20" s="1"/>
  <c r="J7" i="20"/>
  <c r="M7" i="20" s="1"/>
  <c r="I54" i="18"/>
  <c r="I60" i="18"/>
  <c r="I56" i="18"/>
  <c r="B67" i="24"/>
  <c r="J87" i="20"/>
  <c r="M87" i="20" s="1"/>
  <c r="J71" i="20"/>
  <c r="M71" i="20" s="1"/>
  <c r="J55" i="20"/>
  <c r="M55" i="20" s="1"/>
  <c r="J39" i="20"/>
  <c r="M39" i="20" s="1"/>
  <c r="J23" i="20"/>
  <c r="M23" i="20" s="1"/>
  <c r="I52" i="18"/>
  <c r="I37" i="18"/>
  <c r="B18" i="24"/>
  <c r="J114" i="20"/>
  <c r="M114" i="20" s="1"/>
  <c r="J75" i="20"/>
  <c r="M75" i="20" s="1"/>
  <c r="J59" i="20"/>
  <c r="M59" i="20" s="1"/>
  <c r="J43" i="20"/>
  <c r="M43" i="20" s="1"/>
  <c r="J27" i="20"/>
  <c r="M27" i="20" s="1"/>
  <c r="J8" i="20"/>
  <c r="M8" i="20" s="1"/>
  <c r="I50" i="18"/>
  <c r="I66" i="18"/>
  <c r="I62" i="18"/>
  <c r="J102" i="20"/>
  <c r="M102" i="20" s="1"/>
  <c r="J79" i="20"/>
  <c r="M79" i="20" s="1"/>
  <c r="J63" i="20"/>
  <c r="M63" i="20" s="1"/>
  <c r="J47" i="20"/>
  <c r="M47" i="20" s="1"/>
  <c r="J31" i="20"/>
  <c r="M31" i="20" s="1"/>
  <c r="J15" i="20"/>
  <c r="M15" i="20" s="1"/>
  <c r="J69" i="20"/>
  <c r="M69" i="20" s="1"/>
  <c r="B4" i="24"/>
  <c r="B81" i="24"/>
  <c r="B79" i="24"/>
  <c r="B7" i="24"/>
  <c r="J122" i="20"/>
  <c r="M122" i="20" s="1"/>
  <c r="J106" i="20"/>
  <c r="M106" i="20" s="1"/>
  <c r="J83" i="20"/>
  <c r="M83" i="20" s="1"/>
  <c r="J67" i="20"/>
  <c r="M67" i="20" s="1"/>
  <c r="J51" i="20"/>
  <c r="M51" i="20" s="1"/>
  <c r="J35" i="20"/>
  <c r="M35" i="20" s="1"/>
  <c r="J19" i="20"/>
  <c r="M19" i="20" s="1"/>
  <c r="O127" i="20" l="1"/>
  <c r="N127" i="20"/>
  <c r="B36" i="27"/>
  <c r="K127" i="4" s="1"/>
  <c r="F68" i="4"/>
  <c r="J95" i="20"/>
  <c r="M95" i="20" s="1"/>
  <c r="J96" i="20"/>
  <c r="M96" i="20" s="1"/>
  <c r="J98" i="20"/>
  <c r="M98" i="20" s="1"/>
  <c r="J94" i="20"/>
  <c r="M94" i="20" s="1"/>
  <c r="J97" i="20"/>
  <c r="M97" i="20" s="1"/>
  <c r="J91" i="20"/>
  <c r="M91" i="20" s="1"/>
  <c r="T53" i="17"/>
  <c r="T56" i="17" s="1"/>
  <c r="K107" i="20" s="1"/>
  <c r="N107" i="20" s="1"/>
  <c r="J93" i="20"/>
  <c r="M93" i="20" s="1"/>
  <c r="J92" i="20"/>
  <c r="M92" i="20" s="1"/>
  <c r="I65" i="18"/>
  <c r="B61" i="24" s="1"/>
  <c r="G29" i="18"/>
  <c r="B25" i="24" s="1"/>
  <c r="I77" i="18"/>
  <c r="B73" i="24" s="1"/>
  <c r="I47" i="18"/>
  <c r="J47" i="18" s="1"/>
  <c r="B12" i="24"/>
  <c r="I117" i="18"/>
  <c r="B113" i="24" s="1"/>
  <c r="I73" i="18"/>
  <c r="G73" i="18"/>
  <c r="I39" i="18"/>
  <c r="G39" i="18"/>
  <c r="B35" i="24" s="1"/>
  <c r="I30" i="18"/>
  <c r="G30" i="18"/>
  <c r="I26" i="18"/>
  <c r="G26" i="18"/>
  <c r="I57" i="18"/>
  <c r="G57" i="18"/>
  <c r="I42" i="18"/>
  <c r="G42" i="18"/>
  <c r="B38" i="24" s="1"/>
  <c r="I49" i="18"/>
  <c r="G49" i="18"/>
  <c r="I21" i="18"/>
  <c r="G21" i="18"/>
  <c r="I17" i="18"/>
  <c r="G17" i="18"/>
  <c r="I34" i="18"/>
  <c r="G34" i="18"/>
  <c r="I13" i="18"/>
  <c r="G13" i="18"/>
  <c r="F38" i="4"/>
  <c r="F46" i="4"/>
  <c r="F54" i="4"/>
  <c r="F12" i="4"/>
  <c r="F20" i="4"/>
  <c r="F37" i="4"/>
  <c r="F126" i="4"/>
  <c r="F80" i="4"/>
  <c r="F28" i="4"/>
  <c r="F103" i="4"/>
  <c r="F105" i="4"/>
  <c r="F76" i="4"/>
  <c r="F85" i="4"/>
  <c r="F84" i="4"/>
  <c r="F129" i="4"/>
  <c r="F118" i="4"/>
  <c r="F36" i="4"/>
  <c r="F14" i="4"/>
  <c r="F127" i="4"/>
  <c r="F62" i="4"/>
  <c r="F81" i="4"/>
  <c r="F112" i="4"/>
  <c r="F113" i="4"/>
  <c r="F13" i="4"/>
  <c r="F44" i="4"/>
  <c r="F111" i="4"/>
  <c r="F52" i="4"/>
  <c r="F99" i="4"/>
  <c r="F30" i="4"/>
  <c r="F21" i="4"/>
  <c r="F60" i="4"/>
  <c r="F89" i="4"/>
  <c r="F29" i="4"/>
  <c r="F119" i="4"/>
  <c r="L92" i="18"/>
  <c r="R92" i="18" s="1"/>
  <c r="J92" i="18"/>
  <c r="J94" i="18"/>
  <c r="L94" i="18"/>
  <c r="L91" i="18"/>
  <c r="J91" i="18"/>
  <c r="L95" i="18"/>
  <c r="J95" i="18"/>
  <c r="J96" i="18"/>
  <c r="L96" i="18"/>
  <c r="J93" i="18"/>
  <c r="L93" i="18"/>
  <c r="J97" i="18"/>
  <c r="L97" i="18"/>
  <c r="J53" i="18"/>
  <c r="J70" i="18"/>
  <c r="J100" i="18"/>
  <c r="J83" i="18"/>
  <c r="J84" i="18"/>
  <c r="J43" i="18"/>
  <c r="J32" i="18"/>
  <c r="J14" i="18"/>
  <c r="J7" i="18"/>
  <c r="J106" i="18"/>
  <c r="J9" i="18"/>
  <c r="J105" i="18"/>
  <c r="J121" i="18"/>
  <c r="J35" i="18"/>
  <c r="J119" i="18"/>
  <c r="J33" i="18"/>
  <c r="J111" i="18"/>
  <c r="J22" i="18"/>
  <c r="J88" i="18"/>
  <c r="J11" i="18"/>
  <c r="J87" i="18"/>
  <c r="J104" i="18"/>
  <c r="J8" i="18"/>
  <c r="J40" i="18"/>
  <c r="J85" i="18"/>
  <c r="J82" i="18"/>
  <c r="J98" i="18"/>
  <c r="J71" i="18"/>
  <c r="J107" i="18"/>
  <c r="J101" i="18"/>
  <c r="J63" i="18"/>
  <c r="J68" i="18"/>
  <c r="J61" i="18"/>
  <c r="B31" i="24"/>
  <c r="J28" i="18"/>
  <c r="I46" i="18"/>
  <c r="B42" i="24" s="1"/>
  <c r="I110" i="18"/>
  <c r="J110" i="18" s="1"/>
  <c r="I58" i="18"/>
  <c r="B54" i="24" s="1"/>
  <c r="I76" i="18"/>
  <c r="J76" i="18" s="1"/>
  <c r="I23" i="18"/>
  <c r="J23" i="18" s="1"/>
  <c r="B107" i="24"/>
  <c r="I127" i="18"/>
  <c r="B123" i="24" s="1"/>
  <c r="J81" i="18"/>
  <c r="I123" i="18"/>
  <c r="J123" i="18" s="1"/>
  <c r="J41" i="18"/>
  <c r="I115" i="18"/>
  <c r="J115" i="18" s="1"/>
  <c r="I15" i="18"/>
  <c r="B11" i="24" s="1"/>
  <c r="J79" i="18"/>
  <c r="I48" i="18"/>
  <c r="B44" i="24" s="1"/>
  <c r="J16" i="18"/>
  <c r="J55" i="18"/>
  <c r="I90" i="18"/>
  <c r="J90" i="18" s="1"/>
  <c r="I108" i="18"/>
  <c r="J108" i="18" s="1"/>
  <c r="I18" i="18"/>
  <c r="J18" i="18" s="1"/>
  <c r="I10" i="18"/>
  <c r="B6" i="24" s="1"/>
  <c r="I122" i="18"/>
  <c r="B118" i="24" s="1"/>
  <c r="I116" i="18"/>
  <c r="J116" i="18" s="1"/>
  <c r="I45" i="18"/>
  <c r="J45" i="18" s="1"/>
  <c r="I24" i="18"/>
  <c r="J24" i="18" s="1"/>
  <c r="I69" i="18"/>
  <c r="B65" i="24" s="1"/>
  <c r="I125" i="18"/>
  <c r="B121" i="24" s="1"/>
  <c r="I64" i="18"/>
  <c r="J64" i="18" s="1"/>
  <c r="I74" i="18"/>
  <c r="B70" i="24" s="1"/>
  <c r="I72" i="18"/>
  <c r="J72" i="18" s="1"/>
  <c r="I75" i="18"/>
  <c r="B71" i="24" s="1"/>
  <c r="I25" i="18"/>
  <c r="J25" i="18" s="1"/>
  <c r="B29" i="24"/>
  <c r="I59" i="18"/>
  <c r="B55" i="24" s="1"/>
  <c r="I38" i="18"/>
  <c r="I89" i="18"/>
  <c r="B85" i="24" s="1"/>
  <c r="I113" i="18"/>
  <c r="I20" i="18"/>
  <c r="I51" i="18"/>
  <c r="B47" i="24" s="1"/>
  <c r="I31" i="18"/>
  <c r="B27" i="24" s="1"/>
  <c r="I27" i="18"/>
  <c r="J67" i="18"/>
  <c r="B84" i="24"/>
  <c r="B117" i="24"/>
  <c r="B99" i="24"/>
  <c r="J80" i="18"/>
  <c r="J86" i="18"/>
  <c r="J19" i="18"/>
  <c r="B115" i="24"/>
  <c r="J109" i="18"/>
  <c r="J112" i="18"/>
  <c r="J78" i="18"/>
  <c r="J44" i="18"/>
  <c r="B49" i="24"/>
  <c r="B5" i="24"/>
  <c r="B19" i="24"/>
  <c r="B101" i="24"/>
  <c r="B97" i="24"/>
  <c r="B28" i="24"/>
  <c r="J129" i="18"/>
  <c r="J70" i="20"/>
  <c r="M70" i="20" s="1"/>
  <c r="J115" i="20"/>
  <c r="M115" i="20" s="1"/>
  <c r="J86" i="20"/>
  <c r="M86" i="20" s="1"/>
  <c r="J78" i="20"/>
  <c r="M78" i="20" s="1"/>
  <c r="J22" i="20"/>
  <c r="M22" i="20" s="1"/>
  <c r="B98" i="24"/>
  <c r="J102" i="18"/>
  <c r="F31" i="4"/>
  <c r="F102" i="4"/>
  <c r="F35" i="4"/>
  <c r="F67" i="4"/>
  <c r="F106" i="4"/>
  <c r="F27" i="4"/>
  <c r="F59" i="4"/>
  <c r="F53" i="4"/>
  <c r="F124" i="4"/>
  <c r="F10" i="4"/>
  <c r="F125" i="4"/>
  <c r="F18" i="4"/>
  <c r="F50" i="4"/>
  <c r="F82" i="4"/>
  <c r="F40" i="4"/>
  <c r="B120" i="24"/>
  <c r="J124" i="18"/>
  <c r="F15" i="4"/>
  <c r="F79" i="4"/>
  <c r="F39" i="4"/>
  <c r="F71" i="4"/>
  <c r="F7" i="4"/>
  <c r="F49" i="4"/>
  <c r="F104" i="4"/>
  <c r="F41" i="4"/>
  <c r="F73" i="4"/>
  <c r="F17" i="4"/>
  <c r="F61" i="4"/>
  <c r="F100" i="4"/>
  <c r="F42" i="4"/>
  <c r="F74" i="4"/>
  <c r="F16" i="4"/>
  <c r="F48" i="4"/>
  <c r="F101" i="4"/>
  <c r="F88" i="4"/>
  <c r="F110" i="4"/>
  <c r="F121" i="4"/>
  <c r="F19" i="4"/>
  <c r="F51" i="4"/>
  <c r="F83" i="4"/>
  <c r="F122" i="4"/>
  <c r="F69" i="4"/>
  <c r="F8" i="4"/>
  <c r="F43" i="4"/>
  <c r="F75" i="4"/>
  <c r="E99" i="4"/>
  <c r="F108" i="4"/>
  <c r="F9" i="4"/>
  <c r="F56" i="4"/>
  <c r="F24" i="4"/>
  <c r="F34" i="4"/>
  <c r="F66" i="4"/>
  <c r="F72" i="4"/>
  <c r="F47" i="4"/>
  <c r="F63" i="4"/>
  <c r="F23" i="4"/>
  <c r="F55" i="4"/>
  <c r="F87" i="4"/>
  <c r="F11" i="4"/>
  <c r="F33" i="4"/>
  <c r="F65" i="4"/>
  <c r="F25" i="4"/>
  <c r="F57" i="4"/>
  <c r="F128" i="4"/>
  <c r="F120" i="4"/>
  <c r="F45" i="4"/>
  <c r="F77" i="4"/>
  <c r="F116" i="4"/>
  <c r="F26" i="4"/>
  <c r="F58" i="4"/>
  <c r="F90" i="4"/>
  <c r="F32" i="4"/>
  <c r="F64" i="4"/>
  <c r="F117" i="4"/>
  <c r="F123" i="4"/>
  <c r="F109" i="4"/>
  <c r="F107" i="4"/>
  <c r="B124" i="24"/>
  <c r="J128" i="18"/>
  <c r="J118" i="18"/>
  <c r="B114" i="24"/>
  <c r="B116" i="24"/>
  <c r="J120" i="18"/>
  <c r="J126" i="18"/>
  <c r="B122" i="24"/>
  <c r="B62" i="24"/>
  <c r="J66" i="18"/>
  <c r="B56" i="24"/>
  <c r="J60" i="18"/>
  <c r="J37" i="18"/>
  <c r="B33" i="24"/>
  <c r="B50" i="24"/>
  <c r="J54" i="18"/>
  <c r="B58" i="24"/>
  <c r="J62" i="18"/>
  <c r="B52" i="24"/>
  <c r="J56" i="18"/>
  <c r="B46" i="24"/>
  <c r="J50" i="18"/>
  <c r="B48" i="24"/>
  <c r="J52" i="18"/>
  <c r="T92" i="18" l="1"/>
  <c r="S92" i="18"/>
  <c r="U92" i="18"/>
  <c r="J65" i="18"/>
  <c r="F98" i="4"/>
  <c r="F96" i="4"/>
  <c r="F95" i="4"/>
  <c r="F93" i="4"/>
  <c r="F97" i="4"/>
  <c r="F94" i="4"/>
  <c r="K46" i="20"/>
  <c r="N46" i="20" s="1"/>
  <c r="K54" i="20"/>
  <c r="N54" i="20" s="1"/>
  <c r="K97" i="20"/>
  <c r="N97" i="20" s="1"/>
  <c r="K96" i="20"/>
  <c r="N96" i="20" s="1"/>
  <c r="K126" i="20"/>
  <c r="N126" i="20" s="1"/>
  <c r="K14" i="20"/>
  <c r="N14" i="20" s="1"/>
  <c r="K99" i="20"/>
  <c r="N99" i="20" s="1"/>
  <c r="K60" i="20"/>
  <c r="N60" i="20" s="1"/>
  <c r="K13" i="20"/>
  <c r="N13" i="20" s="1"/>
  <c r="K37" i="20"/>
  <c r="N37" i="20" s="1"/>
  <c r="K40" i="20"/>
  <c r="N40" i="20" s="1"/>
  <c r="K82" i="20"/>
  <c r="N82" i="20" s="1"/>
  <c r="K50" i="20"/>
  <c r="N50" i="20" s="1"/>
  <c r="K18" i="20"/>
  <c r="N18" i="20" s="1"/>
  <c r="K125" i="20"/>
  <c r="N125" i="20" s="1"/>
  <c r="K116" i="20"/>
  <c r="N116" i="20" s="1"/>
  <c r="K77" i="20"/>
  <c r="N77" i="20" s="1"/>
  <c r="K45" i="20"/>
  <c r="N45" i="20" s="1"/>
  <c r="K120" i="20"/>
  <c r="N120" i="20" s="1"/>
  <c r="K73" i="20"/>
  <c r="N73" i="20" s="1"/>
  <c r="K41" i="20"/>
  <c r="N41" i="20" s="1"/>
  <c r="K104" i="20"/>
  <c r="N104" i="20" s="1"/>
  <c r="K49" i="20"/>
  <c r="N49" i="20" s="1"/>
  <c r="K124" i="20"/>
  <c r="N124" i="20" s="1"/>
  <c r="K53" i="20"/>
  <c r="N53" i="20" s="1"/>
  <c r="K75" i="20"/>
  <c r="N75" i="20" s="1"/>
  <c r="K43" i="20"/>
  <c r="N43" i="20" s="1"/>
  <c r="K8" i="20"/>
  <c r="N8" i="20" s="1"/>
  <c r="K92" i="20"/>
  <c r="N92" i="20" s="1"/>
  <c r="K36" i="20"/>
  <c r="N36" i="20" s="1"/>
  <c r="K52" i="20"/>
  <c r="N52" i="20" s="1"/>
  <c r="K121" i="20"/>
  <c r="N121" i="20" s="1"/>
  <c r="K109" i="20"/>
  <c r="N109" i="20" s="1"/>
  <c r="K74" i="20"/>
  <c r="N74" i="20" s="1"/>
  <c r="K42" i="20"/>
  <c r="N42" i="20" s="1"/>
  <c r="K91" i="20"/>
  <c r="N91" i="20" s="1"/>
  <c r="K94" i="20"/>
  <c r="N94" i="20" s="1"/>
  <c r="K129" i="20"/>
  <c r="N129" i="20" s="1"/>
  <c r="K81" i="20"/>
  <c r="N81" i="20" s="1"/>
  <c r="K118" i="20"/>
  <c r="N118" i="20" s="1"/>
  <c r="K44" i="20"/>
  <c r="N44" i="20" s="1"/>
  <c r="K105" i="20"/>
  <c r="N105" i="20" s="1"/>
  <c r="K85" i="20"/>
  <c r="N85" i="20" s="1"/>
  <c r="K29" i="20"/>
  <c r="N29" i="20" s="1"/>
  <c r="K127" i="20"/>
  <c r="K20" i="20"/>
  <c r="N20" i="20" s="1"/>
  <c r="K123" i="20"/>
  <c r="B15" i="27" s="1"/>
  <c r="D15" i="27" s="1"/>
  <c r="K117" i="20"/>
  <c r="N117" i="20" s="1"/>
  <c r="K64" i="20"/>
  <c r="N64" i="20" s="1"/>
  <c r="K32" i="20"/>
  <c r="N32" i="20" s="1"/>
  <c r="K90" i="20"/>
  <c r="N90" i="20" s="1"/>
  <c r="K58" i="20"/>
  <c r="N58" i="20" s="1"/>
  <c r="K26" i="20"/>
  <c r="N26" i="20" s="1"/>
  <c r="K9" i="20"/>
  <c r="N9" i="20" s="1"/>
  <c r="K11" i="20"/>
  <c r="N11" i="20" s="1"/>
  <c r="K87" i="20"/>
  <c r="N87" i="20" s="1"/>
  <c r="K55" i="20"/>
  <c r="N55" i="20" s="1"/>
  <c r="K23" i="20"/>
  <c r="N23" i="20" s="1"/>
  <c r="K102" i="20"/>
  <c r="N102" i="20" s="1"/>
  <c r="K63" i="20"/>
  <c r="N63" i="20" s="1"/>
  <c r="K31" i="20"/>
  <c r="N31" i="20" s="1"/>
  <c r="K106" i="20"/>
  <c r="N106" i="20" s="1"/>
  <c r="K67" i="20"/>
  <c r="N67" i="20" s="1"/>
  <c r="K35" i="20"/>
  <c r="N35" i="20" s="1"/>
  <c r="K93" i="20"/>
  <c r="N93" i="20" s="1"/>
  <c r="K12" i="20"/>
  <c r="N12" i="20" s="1"/>
  <c r="K88" i="20"/>
  <c r="N88" i="20" s="1"/>
  <c r="K101" i="20"/>
  <c r="N101" i="20" s="1"/>
  <c r="K16" i="20"/>
  <c r="N16" i="20" s="1"/>
  <c r="K10" i="20"/>
  <c r="N10" i="20" s="1"/>
  <c r="K7" i="20"/>
  <c r="N7" i="20" s="1"/>
  <c r="K71" i="20"/>
  <c r="N71" i="20" s="1"/>
  <c r="K39" i="20"/>
  <c r="N39" i="20" s="1"/>
  <c r="K98" i="20"/>
  <c r="N98" i="20" s="1"/>
  <c r="K95" i="20"/>
  <c r="N95" i="20" s="1"/>
  <c r="K80" i="20"/>
  <c r="N80" i="20" s="1"/>
  <c r="K110" i="20"/>
  <c r="N110" i="20" s="1"/>
  <c r="K21" i="20"/>
  <c r="N21" i="20" s="1"/>
  <c r="K28" i="20"/>
  <c r="N28" i="20" s="1"/>
  <c r="K112" i="20"/>
  <c r="N112" i="20" s="1"/>
  <c r="K84" i="20"/>
  <c r="N84" i="20" s="1"/>
  <c r="K113" i="20"/>
  <c r="N113" i="20" s="1"/>
  <c r="K72" i="20"/>
  <c r="N72" i="20" s="1"/>
  <c r="K66" i="20"/>
  <c r="N66" i="20" s="1"/>
  <c r="K34" i="20"/>
  <c r="N34" i="20" s="1"/>
  <c r="K24" i="20"/>
  <c r="N24" i="20" s="1"/>
  <c r="K56" i="20"/>
  <c r="N56" i="20" s="1"/>
  <c r="K100" i="20"/>
  <c r="N100" i="20" s="1"/>
  <c r="K61" i="20"/>
  <c r="N61" i="20" s="1"/>
  <c r="K17" i="20"/>
  <c r="N17" i="20" s="1"/>
  <c r="K128" i="20"/>
  <c r="N128" i="20" s="1"/>
  <c r="K57" i="20"/>
  <c r="N57" i="20" s="1"/>
  <c r="K25" i="20"/>
  <c r="N25" i="20" s="1"/>
  <c r="K65" i="20"/>
  <c r="N65" i="20" s="1"/>
  <c r="K33" i="20"/>
  <c r="N33" i="20" s="1"/>
  <c r="K108" i="20"/>
  <c r="N108" i="20" s="1"/>
  <c r="K114" i="20"/>
  <c r="N114" i="20" s="1"/>
  <c r="K59" i="20"/>
  <c r="N59" i="20" s="1"/>
  <c r="K27" i="20"/>
  <c r="N27" i="20" s="1"/>
  <c r="K69" i="20"/>
  <c r="N69" i="20" s="1"/>
  <c r="K89" i="20"/>
  <c r="N89" i="20" s="1"/>
  <c r="K111" i="20"/>
  <c r="N111" i="20" s="1"/>
  <c r="K103" i="20"/>
  <c r="N103" i="20" s="1"/>
  <c r="K76" i="20"/>
  <c r="N76" i="20" s="1"/>
  <c r="K119" i="20"/>
  <c r="N119" i="20" s="1"/>
  <c r="K38" i="20"/>
  <c r="N38" i="20" s="1"/>
  <c r="K68" i="20"/>
  <c r="N68" i="20" s="1"/>
  <c r="K48" i="20"/>
  <c r="N48" i="20" s="1"/>
  <c r="K79" i="20"/>
  <c r="N79" i="20" s="1"/>
  <c r="K47" i="20"/>
  <c r="N47" i="20" s="1"/>
  <c r="K15" i="20"/>
  <c r="N15" i="20" s="1"/>
  <c r="K122" i="20"/>
  <c r="N122" i="20" s="1"/>
  <c r="K83" i="20"/>
  <c r="N83" i="20" s="1"/>
  <c r="K51" i="20"/>
  <c r="N51" i="20" s="1"/>
  <c r="K19" i="20"/>
  <c r="N19" i="20" s="1"/>
  <c r="K62" i="20"/>
  <c r="N62" i="20" s="1"/>
  <c r="K86" i="20"/>
  <c r="N86" i="20" s="1"/>
  <c r="K78" i="20"/>
  <c r="N78" i="20" s="1"/>
  <c r="K30" i="20"/>
  <c r="N30" i="20" s="1"/>
  <c r="K70" i="20"/>
  <c r="N70" i="20" s="1"/>
  <c r="K22" i="20"/>
  <c r="N22" i="20" s="1"/>
  <c r="K115" i="20"/>
  <c r="N115" i="20" s="1"/>
  <c r="J77" i="18"/>
  <c r="J29" i="18"/>
  <c r="J17" i="18"/>
  <c r="J73" i="18"/>
  <c r="J13" i="18"/>
  <c r="J49" i="18"/>
  <c r="J57" i="18"/>
  <c r="J30" i="18"/>
  <c r="B30" i="24"/>
  <c r="B17" i="24"/>
  <c r="B22" i="24"/>
  <c r="B9" i="24"/>
  <c r="B13" i="24"/>
  <c r="B45" i="24"/>
  <c r="B53" i="24"/>
  <c r="B26" i="24"/>
  <c r="B69" i="24"/>
  <c r="J42" i="18"/>
  <c r="J39" i="18"/>
  <c r="J34" i="18"/>
  <c r="J26" i="18"/>
  <c r="J21" i="18"/>
  <c r="G99" i="4"/>
  <c r="F78" i="4"/>
  <c r="K54" i="4"/>
  <c r="L54" i="4" s="1"/>
  <c r="F115" i="4"/>
  <c r="K107" i="4"/>
  <c r="L107" i="4" s="1"/>
  <c r="F22" i="4"/>
  <c r="F86" i="4"/>
  <c r="K46" i="4"/>
  <c r="F70" i="4"/>
  <c r="M97" i="18"/>
  <c r="M96" i="18"/>
  <c r="M92" i="18"/>
  <c r="M93" i="18"/>
  <c r="M95" i="18"/>
  <c r="M94" i="18"/>
  <c r="M91" i="18"/>
  <c r="J58" i="18"/>
  <c r="J46" i="18"/>
  <c r="J127" i="18"/>
  <c r="B106" i="24"/>
  <c r="B112" i="24"/>
  <c r="B72" i="24"/>
  <c r="B111" i="24"/>
  <c r="B86" i="24"/>
  <c r="J69" i="18"/>
  <c r="J10" i="18"/>
  <c r="J122" i="18"/>
  <c r="J15" i="18"/>
  <c r="B104" i="24"/>
  <c r="B119" i="24"/>
  <c r="J125" i="18"/>
  <c r="B14" i="24"/>
  <c r="J48" i="18"/>
  <c r="B60" i="24"/>
  <c r="B20" i="24"/>
  <c r="J74" i="18"/>
  <c r="B41" i="24"/>
  <c r="B68" i="24"/>
  <c r="B21" i="24"/>
  <c r="J75" i="18"/>
  <c r="J59" i="18"/>
  <c r="J51" i="18"/>
  <c r="J31" i="18"/>
  <c r="B16" i="24"/>
  <c r="J20" i="18"/>
  <c r="J89" i="18"/>
  <c r="B109" i="24"/>
  <c r="J113" i="18"/>
  <c r="J38" i="18"/>
  <c r="B34" i="24"/>
  <c r="B23" i="24"/>
  <c r="J27" i="18"/>
  <c r="K22" i="4" l="1"/>
  <c r="K83" i="4"/>
  <c r="L83" i="4" s="1"/>
  <c r="K119" i="4"/>
  <c r="L119" i="4" s="1"/>
  <c r="K114" i="4"/>
  <c r="K61" i="4"/>
  <c r="L61" i="4" s="1"/>
  <c r="K84" i="4"/>
  <c r="L84" i="4" s="1"/>
  <c r="K39" i="4"/>
  <c r="K93" i="4"/>
  <c r="K55" i="4"/>
  <c r="K64" i="4"/>
  <c r="K44" i="4"/>
  <c r="L44" i="4" s="1"/>
  <c r="K109" i="4"/>
  <c r="L109" i="4" s="1"/>
  <c r="K53" i="4"/>
  <c r="L53" i="4" s="1"/>
  <c r="K77" i="4"/>
  <c r="K13" i="4"/>
  <c r="K70" i="4"/>
  <c r="L70" i="4" s="1"/>
  <c r="K122" i="4"/>
  <c r="K76" i="4"/>
  <c r="K108" i="4"/>
  <c r="K100" i="4"/>
  <c r="L100" i="4" s="1"/>
  <c r="K112" i="4"/>
  <c r="L112" i="4" s="1"/>
  <c r="K71" i="4"/>
  <c r="L71" i="4" s="1"/>
  <c r="K35" i="4"/>
  <c r="L35" i="4" s="1"/>
  <c r="K87" i="4"/>
  <c r="L87" i="4" s="1"/>
  <c r="K117" i="4"/>
  <c r="K118" i="4"/>
  <c r="L118" i="4" s="1"/>
  <c r="K121" i="4"/>
  <c r="L121" i="4" s="1"/>
  <c r="K124" i="4"/>
  <c r="L124" i="4" s="1"/>
  <c r="K116" i="4"/>
  <c r="K60" i="4"/>
  <c r="L60" i="4" s="1"/>
  <c r="K30" i="4"/>
  <c r="K15" i="4"/>
  <c r="K103" i="4"/>
  <c r="L103" i="4" s="1"/>
  <c r="K33" i="4"/>
  <c r="L33" i="4" s="1"/>
  <c r="K56" i="4"/>
  <c r="L56" i="4" s="1"/>
  <c r="K28" i="4"/>
  <c r="L28" i="4" s="1"/>
  <c r="K7" i="4"/>
  <c r="L7" i="4" s="1"/>
  <c r="K67" i="4"/>
  <c r="L67" i="4" s="1"/>
  <c r="K11" i="4"/>
  <c r="L11" i="4" s="1"/>
  <c r="K81" i="4"/>
  <c r="L81" i="4" s="1"/>
  <c r="K52" i="4"/>
  <c r="L52" i="4" s="1"/>
  <c r="K49" i="4"/>
  <c r="K125" i="4"/>
  <c r="K99" i="4"/>
  <c r="L99" i="4" s="1"/>
  <c r="O99" i="4" s="1"/>
  <c r="K78" i="4"/>
  <c r="L78" i="4" s="1"/>
  <c r="K47" i="4"/>
  <c r="K111" i="4"/>
  <c r="L111" i="4" s="1"/>
  <c r="K65" i="4"/>
  <c r="K24" i="4"/>
  <c r="K21" i="4"/>
  <c r="L21" i="4" s="1"/>
  <c r="K10" i="4"/>
  <c r="K106" i="4"/>
  <c r="L106" i="4" s="1"/>
  <c r="K9" i="4"/>
  <c r="L9" i="4" s="1"/>
  <c r="K20" i="4"/>
  <c r="K129" i="4"/>
  <c r="L129" i="4" s="1"/>
  <c r="K36" i="4"/>
  <c r="L36" i="4" s="1"/>
  <c r="K104" i="4"/>
  <c r="L104" i="4" s="1"/>
  <c r="K18" i="4"/>
  <c r="K14" i="4"/>
  <c r="L14" i="4" s="1"/>
  <c r="K86" i="4"/>
  <c r="L86" i="4" s="1"/>
  <c r="K79" i="4"/>
  <c r="K89" i="4"/>
  <c r="L89" i="4" s="1"/>
  <c r="K25" i="4"/>
  <c r="K34" i="4"/>
  <c r="L34" i="4" s="1"/>
  <c r="K110" i="4"/>
  <c r="K16" i="4"/>
  <c r="K31" i="4"/>
  <c r="K26" i="4"/>
  <c r="K94" i="4"/>
  <c r="K41" i="4"/>
  <c r="K50" i="4"/>
  <c r="L50" i="4" s="1"/>
  <c r="K126" i="4"/>
  <c r="L126" i="4" s="1"/>
  <c r="K62" i="4"/>
  <c r="L62" i="4" s="1"/>
  <c r="K48" i="4"/>
  <c r="K69" i="4"/>
  <c r="K57" i="4"/>
  <c r="K66" i="4"/>
  <c r="L66" i="4" s="1"/>
  <c r="K80" i="4"/>
  <c r="L80" i="4" s="1"/>
  <c r="K101" i="4"/>
  <c r="L101" i="4" s="1"/>
  <c r="K63" i="4"/>
  <c r="L63" i="4" s="1"/>
  <c r="K58" i="4"/>
  <c r="K29" i="4"/>
  <c r="L29" i="4" s="1"/>
  <c r="K8" i="4"/>
  <c r="L8" i="4" s="1"/>
  <c r="K73" i="4"/>
  <c r="K82" i="4"/>
  <c r="L82" i="4" s="1"/>
  <c r="K96" i="4"/>
  <c r="K19" i="4"/>
  <c r="L19" i="4" s="1"/>
  <c r="K68" i="4"/>
  <c r="K27" i="4"/>
  <c r="K128" i="4"/>
  <c r="L128" i="4" s="1"/>
  <c r="K72" i="4"/>
  <c r="K95" i="4"/>
  <c r="K88" i="4"/>
  <c r="L88" i="4" s="1"/>
  <c r="K102" i="4"/>
  <c r="L102" i="4" s="1"/>
  <c r="K90" i="4"/>
  <c r="K85" i="4"/>
  <c r="L85" i="4" s="1"/>
  <c r="K42" i="4"/>
  <c r="K43" i="4"/>
  <c r="L43" i="4" s="1"/>
  <c r="K120" i="4"/>
  <c r="L120" i="4" s="1"/>
  <c r="K40" i="4"/>
  <c r="L40" i="4" s="1"/>
  <c r="K97" i="4"/>
  <c r="K115" i="4"/>
  <c r="K51" i="4"/>
  <c r="K38" i="4"/>
  <c r="K59" i="4"/>
  <c r="K17" i="4"/>
  <c r="K113" i="4"/>
  <c r="K98" i="4"/>
  <c r="L98" i="4" s="1"/>
  <c r="K12" i="4"/>
  <c r="L12" i="4" s="1"/>
  <c r="K23" i="4"/>
  <c r="K32" i="4"/>
  <c r="K105" i="4"/>
  <c r="L105" i="4" s="1"/>
  <c r="K74" i="4"/>
  <c r="K75" i="4"/>
  <c r="K45" i="4"/>
  <c r="K37" i="4"/>
  <c r="L37" i="4" s="1"/>
  <c r="K123" i="4"/>
  <c r="N123" i="20"/>
  <c r="F128" i="6"/>
  <c r="G128" i="6" s="1"/>
  <c r="F110" i="6"/>
  <c r="G110" i="6" s="1"/>
  <c r="F83" i="6"/>
  <c r="G83" i="6" s="1"/>
  <c r="F78" i="6"/>
  <c r="G78" i="6" s="1"/>
  <c r="H78" i="6" s="1"/>
  <c r="F57" i="6"/>
  <c r="G57" i="6" s="1"/>
  <c r="F28" i="6"/>
  <c r="G28" i="6" s="1"/>
  <c r="J78" i="6" l="1"/>
  <c r="I78" i="6"/>
  <c r="V20" i="17"/>
  <c r="J25" i="17"/>
  <c r="J24" i="17" l="1"/>
  <c r="V19" i="17"/>
  <c r="J18" i="17" l="1"/>
  <c r="J23" i="17"/>
  <c r="J26" i="17" s="1"/>
  <c r="B10" i="27" l="1"/>
  <c r="D10" i="27" s="1"/>
  <c r="S108" i="22"/>
  <c r="S73" i="22"/>
  <c r="T59" i="22"/>
  <c r="I115" i="4"/>
  <c r="I77" i="4"/>
  <c r="I73" i="4"/>
  <c r="T114" i="22"/>
  <c r="T75" i="22"/>
  <c r="T72" i="22"/>
  <c r="S59" i="22"/>
  <c r="T48" i="22"/>
  <c r="H115" i="4"/>
  <c r="H77" i="4"/>
  <c r="H73" i="4"/>
  <c r="H69" i="4"/>
  <c r="H65" i="4"/>
  <c r="H57" i="4"/>
  <c r="H49" i="4"/>
  <c r="H45" i="4"/>
  <c r="H41" i="4"/>
  <c r="H25" i="4"/>
  <c r="H17" i="4"/>
  <c r="H13" i="4"/>
  <c r="S114" i="22"/>
  <c r="S75" i="22"/>
  <c r="S72" i="22"/>
  <c r="S48" i="22"/>
  <c r="S16" i="22"/>
  <c r="I122" i="4"/>
  <c r="I114" i="4"/>
  <c r="I110" i="4"/>
  <c r="I76" i="4"/>
  <c r="I72" i="4"/>
  <c r="I64" i="4"/>
  <c r="I48" i="4"/>
  <c r="H127" i="4"/>
  <c r="H122" i="4"/>
  <c r="H114" i="4"/>
  <c r="H110" i="4"/>
  <c r="H76" i="4"/>
  <c r="H72" i="4"/>
  <c r="H64" i="4"/>
  <c r="T74" i="22"/>
  <c r="T47" i="22"/>
  <c r="T31" i="22"/>
  <c r="S18" i="22"/>
  <c r="I117" i="4"/>
  <c r="I113" i="4"/>
  <c r="T108" i="22"/>
  <c r="S74" i="22"/>
  <c r="S47" i="22"/>
  <c r="S39" i="22"/>
  <c r="S31" i="22"/>
  <c r="H117" i="4"/>
  <c r="H113" i="4"/>
  <c r="H79" i="4"/>
  <c r="H75" i="4"/>
  <c r="H59" i="4"/>
  <c r="H55" i="4"/>
  <c r="H51" i="4"/>
  <c r="H47" i="4"/>
  <c r="H39" i="4"/>
  <c r="H31" i="4"/>
  <c r="H27" i="4"/>
  <c r="H23" i="4"/>
  <c r="H15" i="4"/>
  <c r="T90" i="22"/>
  <c r="T49" i="22"/>
  <c r="T25" i="22"/>
  <c r="S20" i="22"/>
  <c r="I125" i="4"/>
  <c r="I116" i="4"/>
  <c r="I108" i="4"/>
  <c r="S90" i="22"/>
  <c r="S79" i="22"/>
  <c r="T73" i="22"/>
  <c r="S49" i="22"/>
  <c r="S41" i="22"/>
  <c r="S25" i="22"/>
  <c r="S17" i="22"/>
  <c r="H125" i="4"/>
  <c r="H116" i="4"/>
  <c r="H108" i="4"/>
  <c r="H90" i="4"/>
  <c r="H74" i="4"/>
  <c r="H58" i="4"/>
  <c r="H46" i="4"/>
  <c r="H42" i="4"/>
  <c r="H30" i="4"/>
  <c r="H26" i="4"/>
  <c r="H22" i="4"/>
  <c r="H18" i="4"/>
  <c r="H10" i="4"/>
  <c r="I51" i="4"/>
  <c r="I30" i="4"/>
  <c r="I24" i="4"/>
  <c r="I47" i="4"/>
  <c r="I27" i="4"/>
  <c r="H24" i="4"/>
  <c r="I13" i="4"/>
  <c r="H16" i="4"/>
  <c r="I23" i="4"/>
  <c r="I32" i="4"/>
  <c r="I65" i="4"/>
  <c r="I49" i="4"/>
  <c r="I22" i="4"/>
  <c r="I69" i="4"/>
  <c r="I59" i="4"/>
  <c r="H48" i="4"/>
  <c r="I42" i="4"/>
  <c r="I58" i="4"/>
  <c r="I75" i="4"/>
  <c r="I57" i="4"/>
  <c r="I46" i="4"/>
  <c r="H32" i="4"/>
  <c r="I26" i="4"/>
  <c r="I15" i="4"/>
  <c r="I10" i="4"/>
  <c r="I90" i="4"/>
  <c r="I74" i="4"/>
  <c r="I45" i="4"/>
  <c r="I31" i="4"/>
  <c r="I25" i="4"/>
  <c r="H20" i="4"/>
  <c r="R108" i="22"/>
  <c r="R105" i="22"/>
  <c r="R90" i="22"/>
  <c r="R79" i="22"/>
  <c r="R73" i="22"/>
  <c r="R49" i="22"/>
  <c r="R41" i="22"/>
  <c r="R25" i="22"/>
  <c r="R17" i="22"/>
  <c r="R101" i="22"/>
  <c r="R70" i="22"/>
  <c r="D126" i="4"/>
  <c r="D118" i="4"/>
  <c r="D110" i="4"/>
  <c r="D102" i="4"/>
  <c r="D94" i="4"/>
  <c r="G94" i="4" s="1"/>
  <c r="O94" i="4" s="1"/>
  <c r="D86" i="4"/>
  <c r="R67" i="22"/>
  <c r="R59" i="22"/>
  <c r="R19" i="22"/>
  <c r="R11" i="22"/>
  <c r="R114" i="22"/>
  <c r="R106" i="22"/>
  <c r="R75" i="22"/>
  <c r="R72" i="22"/>
  <c r="R48" i="22"/>
  <c r="R16" i="22"/>
  <c r="R8" i="22"/>
  <c r="R109" i="22"/>
  <c r="R66" i="22"/>
  <c r="R18" i="22"/>
  <c r="D122" i="4"/>
  <c r="D114" i="4"/>
  <c r="D106" i="4"/>
  <c r="D98" i="4"/>
  <c r="D90" i="4"/>
  <c r="D82" i="4"/>
  <c r="D74" i="4"/>
  <c r="R102" i="22"/>
  <c r="R74" i="22"/>
  <c r="R71" i="22"/>
  <c r="R47" i="22"/>
  <c r="R39" i="22"/>
  <c r="R31" i="22"/>
  <c r="R82" i="22"/>
  <c r="R20" i="22"/>
  <c r="D128" i="4"/>
  <c r="D120" i="4"/>
  <c r="D112" i="4"/>
  <c r="D104" i="4"/>
  <c r="D96" i="4"/>
  <c r="G96" i="4" s="1"/>
  <c r="O96" i="4" s="1"/>
  <c r="D88" i="4"/>
  <c r="D80" i="4"/>
  <c r="D72" i="4"/>
  <c r="D64" i="4"/>
  <c r="D56" i="4"/>
  <c r="D48" i="4"/>
  <c r="D40" i="4"/>
  <c r="D32" i="4"/>
  <c r="D24" i="4"/>
  <c r="D16" i="4"/>
  <c r="D8" i="4"/>
  <c r="D124" i="4"/>
  <c r="D111" i="4"/>
  <c r="D85" i="4"/>
  <c r="D75" i="4"/>
  <c r="D65" i="4"/>
  <c r="D55" i="4"/>
  <c r="D37" i="4"/>
  <c r="D28" i="4"/>
  <c r="D19" i="4"/>
  <c r="D10" i="4"/>
  <c r="D15" i="4"/>
  <c r="D116" i="4"/>
  <c r="D78" i="4"/>
  <c r="D68" i="4"/>
  <c r="D31" i="4"/>
  <c r="D123" i="4"/>
  <c r="D109" i="4"/>
  <c r="D97" i="4"/>
  <c r="G97" i="4" s="1"/>
  <c r="O97" i="4" s="1"/>
  <c r="D84" i="4"/>
  <c r="D73" i="4"/>
  <c r="D63" i="4"/>
  <c r="D54" i="4"/>
  <c r="D45" i="4"/>
  <c r="D36" i="4"/>
  <c r="D27" i="4"/>
  <c r="D18" i="4"/>
  <c r="D9" i="4"/>
  <c r="D129" i="4"/>
  <c r="D121" i="4"/>
  <c r="D108" i="4"/>
  <c r="D95" i="4"/>
  <c r="G95" i="4" s="1"/>
  <c r="O95" i="4" s="1"/>
  <c r="D83" i="4"/>
  <c r="D71" i="4"/>
  <c r="D62" i="4"/>
  <c r="D53" i="4"/>
  <c r="D44" i="4"/>
  <c r="D35" i="4"/>
  <c r="D26" i="4"/>
  <c r="D17" i="4"/>
  <c r="D7" i="4"/>
  <c r="D43" i="4"/>
  <c r="D25" i="4"/>
  <c r="D91" i="4"/>
  <c r="G91" i="4" s="1"/>
  <c r="O91" i="4" s="1"/>
  <c r="D41" i="4"/>
  <c r="D22" i="4"/>
  <c r="D119" i="4"/>
  <c r="D107" i="4"/>
  <c r="D93" i="4"/>
  <c r="G93" i="4" s="1"/>
  <c r="O93" i="4" s="1"/>
  <c r="D81" i="4"/>
  <c r="D70" i="4"/>
  <c r="D61" i="4"/>
  <c r="D52" i="4"/>
  <c r="D34" i="4"/>
  <c r="D117" i="4"/>
  <c r="D105" i="4"/>
  <c r="D92" i="4"/>
  <c r="G92" i="4" s="1"/>
  <c r="O92" i="4" s="1"/>
  <c r="D79" i="4"/>
  <c r="D69" i="4"/>
  <c r="D60" i="4"/>
  <c r="D51" i="4"/>
  <c r="D42" i="4"/>
  <c r="D33" i="4"/>
  <c r="D14" i="4"/>
  <c r="D103" i="4"/>
  <c r="D59" i="4"/>
  <c r="D127" i="4"/>
  <c r="D115" i="4"/>
  <c r="D101" i="4"/>
  <c r="D89" i="4"/>
  <c r="D77" i="4"/>
  <c r="D67" i="4"/>
  <c r="D58" i="4"/>
  <c r="D49" i="4"/>
  <c r="D39" i="4"/>
  <c r="D30" i="4"/>
  <c r="D21" i="4"/>
  <c r="D12" i="4"/>
  <c r="D57" i="4"/>
  <c r="D38" i="4"/>
  <c r="D20" i="4"/>
  <c r="D125" i="4"/>
  <c r="D113" i="4"/>
  <c r="D100" i="4"/>
  <c r="D87" i="4"/>
  <c r="D76" i="4"/>
  <c r="D66" i="4"/>
  <c r="D47" i="4"/>
  <c r="D29" i="4"/>
  <c r="D11" i="4"/>
  <c r="D50" i="4"/>
  <c r="D13" i="4"/>
  <c r="G28" i="4"/>
  <c r="O28" i="4" s="1"/>
  <c r="J68" i="4"/>
  <c r="L38" i="4"/>
  <c r="I123" i="4" l="1"/>
  <c r="L68" i="4"/>
  <c r="V27" i="17" l="1"/>
  <c r="W27" i="17"/>
  <c r="V18" i="17"/>
  <c r="V13" i="17"/>
  <c r="R85" i="22" l="1"/>
  <c r="E85" i="4" s="1"/>
  <c r="G85" i="4" s="1"/>
  <c r="O85" i="4" s="1"/>
  <c r="M85" i="4" s="1"/>
  <c r="P85" i="4" s="1"/>
  <c r="R12" i="22"/>
  <c r="R81" i="22"/>
  <c r="E81" i="4" s="1"/>
  <c r="G81" i="4" s="1"/>
  <c r="O81" i="4" s="1"/>
  <c r="R118" i="22"/>
  <c r="E118" i="4" s="1"/>
  <c r="G118" i="4" s="1"/>
  <c r="O118" i="4" s="1"/>
  <c r="R111" i="22"/>
  <c r="E111" i="4" s="1"/>
  <c r="G111" i="4" s="1"/>
  <c r="O111" i="4" s="1"/>
  <c r="R112" i="22"/>
  <c r="E112" i="4" s="1"/>
  <c r="G112" i="4" s="1"/>
  <c r="O112" i="4" s="1"/>
  <c r="R38" i="22"/>
  <c r="E38" i="4" s="1"/>
  <c r="G38" i="4" s="1"/>
  <c r="O38" i="4" s="1"/>
  <c r="M38" i="4" s="1"/>
  <c r="P38" i="4" s="1"/>
  <c r="R89" i="22"/>
  <c r="E89" i="4" s="1"/>
  <c r="G89" i="4" s="1"/>
  <c r="O89" i="4" s="1"/>
  <c r="R13" i="22"/>
  <c r="E13" i="4" s="1"/>
  <c r="G13" i="4" s="1"/>
  <c r="R37" i="22"/>
  <c r="R129" i="22"/>
  <c r="E129" i="4" s="1"/>
  <c r="G129" i="4" s="1"/>
  <c r="O129" i="4" s="1"/>
  <c r="R36" i="22"/>
  <c r="E36" i="4" s="1"/>
  <c r="G36" i="4" s="1"/>
  <c r="O36" i="4" s="1"/>
  <c r="R80" i="22"/>
  <c r="E80" i="4" s="1"/>
  <c r="G80" i="4" s="1"/>
  <c r="O80" i="4" s="1"/>
  <c r="R126" i="22"/>
  <c r="E126" i="4" s="1"/>
  <c r="G126" i="4" s="1"/>
  <c r="O126" i="4" s="1"/>
  <c r="M126" i="4" s="1"/>
  <c r="P126" i="4" s="1"/>
  <c r="R29" i="22"/>
  <c r="E29" i="4" s="1"/>
  <c r="G29" i="4" s="1"/>
  <c r="O29" i="4" s="1"/>
  <c r="R40" i="22"/>
  <c r="E40" i="4" s="1"/>
  <c r="G40" i="4" s="1"/>
  <c r="O40" i="4" s="1"/>
  <c r="R21" i="22"/>
  <c r="E21" i="4" s="1"/>
  <c r="G21" i="4" s="1"/>
  <c r="O21" i="4" s="1"/>
  <c r="R14" i="22"/>
  <c r="E14" i="4" s="1"/>
  <c r="G14" i="4" s="1"/>
  <c r="O14" i="4" s="1"/>
  <c r="V21" i="17"/>
  <c r="E12" i="4"/>
  <c r="G12" i="4" s="1"/>
  <c r="O12" i="4" s="1"/>
  <c r="E37" i="4"/>
  <c r="G37" i="4" s="1"/>
  <c r="O37" i="4" s="1"/>
  <c r="M37" i="4" s="1"/>
  <c r="P37" i="4" s="1"/>
  <c r="T13" i="22" l="1"/>
  <c r="S13" i="22"/>
  <c r="N126" i="4"/>
  <c r="N37" i="4"/>
  <c r="N38" i="4"/>
  <c r="N85" i="4"/>
  <c r="J13" i="4" l="1"/>
  <c r="L13" i="4" s="1"/>
  <c r="O13" i="4" s="1"/>
  <c r="F114" i="4"/>
  <c r="F114" i="18"/>
  <c r="G114" i="18" l="1"/>
  <c r="B110" i="24" s="1"/>
  <c r="I114" i="18"/>
  <c r="J114" i="18" l="1"/>
  <c r="F103" i="22" l="1"/>
  <c r="E103" i="22"/>
  <c r="H103" i="22"/>
  <c r="G103" i="22" s="1"/>
  <c r="AE103" i="22" l="1"/>
  <c r="AD103" i="22"/>
  <c r="AC103" i="22"/>
  <c r="P103" i="22"/>
  <c r="O103" i="22"/>
  <c r="AB103" i="22"/>
  <c r="J103" i="22"/>
  <c r="N103" i="22" s="1"/>
  <c r="I103" i="22"/>
  <c r="M103" i="22" s="1"/>
  <c r="R103" i="22" s="1"/>
  <c r="H100" i="22"/>
  <c r="G100" i="22" s="1"/>
  <c r="F100" i="22" s="1"/>
  <c r="E100" i="22" s="1"/>
  <c r="F86" i="6"/>
  <c r="G86" i="6" s="1"/>
  <c r="F84" i="6"/>
  <c r="G84" i="6" s="1"/>
  <c r="F61" i="6"/>
  <c r="G61" i="6" s="1"/>
  <c r="H10" i="22"/>
  <c r="G10" i="22" s="1"/>
  <c r="F10" i="22" s="1"/>
  <c r="E10" i="22" s="1"/>
  <c r="AB100" i="22" l="1"/>
  <c r="AC100" i="22"/>
  <c r="P100" i="22"/>
  <c r="O100" i="22"/>
  <c r="J100" i="22"/>
  <c r="N100" i="22" s="1"/>
  <c r="I100" i="22"/>
  <c r="AE100" i="22"/>
  <c r="AD100" i="22"/>
  <c r="AB10" i="22"/>
  <c r="AC10" i="22"/>
  <c r="P10" i="22"/>
  <c r="J10" i="22"/>
  <c r="N10" i="22" s="1"/>
  <c r="AE10" i="22"/>
  <c r="O10" i="22"/>
  <c r="I10" i="22"/>
  <c r="M10" i="22" s="1"/>
  <c r="R10" i="22" s="1"/>
  <c r="AD10" i="22"/>
  <c r="E103" i="4"/>
  <c r="G103" i="4" s="1"/>
  <c r="O103" i="4" s="1"/>
  <c r="H11" i="22"/>
  <c r="G11" i="22" s="1"/>
  <c r="F11" i="22" s="1"/>
  <c r="E11" i="22" s="1"/>
  <c r="N12" i="22"/>
  <c r="E11" i="4"/>
  <c r="G11" i="4" s="1"/>
  <c r="O11" i="4" s="1"/>
  <c r="M11" i="4" s="1"/>
  <c r="P11" i="4" s="1"/>
  <c r="E35" i="22"/>
  <c r="F35" i="22"/>
  <c r="H35" i="22"/>
  <c r="G35" i="22" s="1"/>
  <c r="H39" i="22"/>
  <c r="G39" i="22" s="1"/>
  <c r="F39" i="22" s="1"/>
  <c r="E39" i="22" s="1"/>
  <c r="H41" i="22"/>
  <c r="G41" i="22" s="1"/>
  <c r="F41" i="22" s="1"/>
  <c r="E41" i="22" s="1"/>
  <c r="E8" i="4"/>
  <c r="G8" i="4" s="1"/>
  <c r="O8" i="4" s="1"/>
  <c r="M8" i="4" s="1"/>
  <c r="P8" i="4" s="1"/>
  <c r="F23" i="22"/>
  <c r="E23" i="22"/>
  <c r="H23" i="22"/>
  <c r="G23" i="22" s="1"/>
  <c r="F30" i="22"/>
  <c r="E30" i="22"/>
  <c r="H30" i="22"/>
  <c r="G30" i="22" s="1"/>
  <c r="F50" i="22"/>
  <c r="E50" i="22"/>
  <c r="H50" i="22"/>
  <c r="G50" i="22" s="1"/>
  <c r="H57" i="22"/>
  <c r="G57" i="22" s="1"/>
  <c r="F57" i="22"/>
  <c r="E57" i="22"/>
  <c r="F61" i="22"/>
  <c r="E61" i="22"/>
  <c r="H61" i="22"/>
  <c r="G61" i="22" s="1"/>
  <c r="E69" i="22"/>
  <c r="F69" i="22"/>
  <c r="H69" i="22"/>
  <c r="G69" i="22" s="1"/>
  <c r="E86" i="22"/>
  <c r="H86" i="22"/>
  <c r="G86" i="22" s="1"/>
  <c r="F86" i="22"/>
  <c r="H108" i="22"/>
  <c r="G108" i="22" s="1"/>
  <c r="F108" i="22" s="1"/>
  <c r="E108" i="22" s="1"/>
  <c r="F115" i="22"/>
  <c r="H115" i="22"/>
  <c r="G115" i="22" s="1"/>
  <c r="E115" i="22"/>
  <c r="H119" i="22"/>
  <c r="G119" i="22" s="1"/>
  <c r="F119" i="22"/>
  <c r="E119" i="22"/>
  <c r="H7" i="22"/>
  <c r="G7" i="22" s="1"/>
  <c r="E7" i="22"/>
  <c r="F7" i="22"/>
  <c r="E32" i="22"/>
  <c r="F32" i="22"/>
  <c r="H32" i="22"/>
  <c r="G32" i="22" s="1"/>
  <c r="H9" i="22"/>
  <c r="G9" i="22" s="1"/>
  <c r="F9" i="22"/>
  <c r="E9" i="22"/>
  <c r="H16" i="22"/>
  <c r="G16" i="22" s="1"/>
  <c r="F16" i="22" s="1"/>
  <c r="E16" i="22" s="1"/>
  <c r="H20" i="22"/>
  <c r="G20" i="22" s="1"/>
  <c r="F20" i="22" s="1"/>
  <c r="E20" i="22" s="1"/>
  <c r="E22" i="22"/>
  <c r="F22" i="22"/>
  <c r="H22" i="22"/>
  <c r="G22" i="22" s="1"/>
  <c r="H24" i="22"/>
  <c r="G24" i="22" s="1"/>
  <c r="E24" i="22"/>
  <c r="F24" i="22"/>
  <c r="F27" i="22"/>
  <c r="H27" i="22"/>
  <c r="G27" i="22" s="1"/>
  <c r="E27" i="22"/>
  <c r="H31" i="22"/>
  <c r="G31" i="22" s="1"/>
  <c r="F31" i="22" s="1"/>
  <c r="E31" i="22" s="1"/>
  <c r="E42" i="22"/>
  <c r="H42" i="22"/>
  <c r="G42" i="22" s="1"/>
  <c r="F42" i="22"/>
  <c r="E45" i="22"/>
  <c r="H45" i="22"/>
  <c r="G45" i="22" s="1"/>
  <c r="F45" i="22"/>
  <c r="H49" i="22"/>
  <c r="G49" i="22" s="1"/>
  <c r="F49" i="22" s="1"/>
  <c r="E49" i="22" s="1"/>
  <c r="F51" i="22"/>
  <c r="H51" i="22"/>
  <c r="G51" i="22" s="1"/>
  <c r="E51" i="22"/>
  <c r="F58" i="22"/>
  <c r="H58" i="22"/>
  <c r="G58" i="22" s="1"/>
  <c r="E58" i="22"/>
  <c r="F62" i="22"/>
  <c r="H62" i="22"/>
  <c r="G62" i="22" s="1"/>
  <c r="E62" i="22"/>
  <c r="F65" i="22"/>
  <c r="E65" i="22"/>
  <c r="H65" i="22"/>
  <c r="G65" i="22" s="1"/>
  <c r="H68" i="22"/>
  <c r="G68" i="22" s="1"/>
  <c r="F68" i="22"/>
  <c r="E68" i="22"/>
  <c r="E71" i="4"/>
  <c r="G71" i="4" s="1"/>
  <c r="O71" i="4" s="1"/>
  <c r="M71" i="4" s="1"/>
  <c r="P71" i="4" s="1"/>
  <c r="H76" i="22"/>
  <c r="G76" i="22" s="1"/>
  <c r="F76" i="22"/>
  <c r="E76" i="22"/>
  <c r="F84" i="22"/>
  <c r="H84" i="22"/>
  <c r="G84" i="22" s="1"/>
  <c r="E84" i="22"/>
  <c r="E87" i="22"/>
  <c r="H87" i="22"/>
  <c r="G87" i="22" s="1"/>
  <c r="F87" i="22"/>
  <c r="F98" i="22"/>
  <c r="H98" i="22"/>
  <c r="G98" i="22" s="1"/>
  <c r="E98" i="22"/>
  <c r="H104" i="22"/>
  <c r="G104" i="22" s="1"/>
  <c r="F104" i="22"/>
  <c r="E104" i="22"/>
  <c r="E113" i="22"/>
  <c r="F113" i="22"/>
  <c r="H113" i="22"/>
  <c r="G113" i="22" s="1"/>
  <c r="E116" i="22"/>
  <c r="H116" i="22"/>
  <c r="G116" i="22" s="1"/>
  <c r="F116" i="22"/>
  <c r="H120" i="22"/>
  <c r="G120" i="22" s="1"/>
  <c r="F120" i="22"/>
  <c r="E120" i="22"/>
  <c r="E122" i="22"/>
  <c r="H122" i="22"/>
  <c r="G122" i="22" s="1"/>
  <c r="F122" i="22"/>
  <c r="H48" i="22"/>
  <c r="G48" i="22" s="1"/>
  <c r="F48" i="22" s="1"/>
  <c r="E48" i="22" s="1"/>
  <c r="E53" i="22"/>
  <c r="F53" i="22"/>
  <c r="H53" i="22"/>
  <c r="G53" i="22" s="1"/>
  <c r="H55" i="22"/>
  <c r="G55" i="22" s="1"/>
  <c r="E55" i="22"/>
  <c r="F55" i="22"/>
  <c r="E70" i="4"/>
  <c r="G70" i="4" s="1"/>
  <c r="O70" i="4" s="1"/>
  <c r="M70" i="4" s="1"/>
  <c r="P70" i="4" s="1"/>
  <c r="H70" i="22"/>
  <c r="G70" i="22" s="1"/>
  <c r="F70" i="22" s="1"/>
  <c r="E70" i="22" s="1"/>
  <c r="E78" i="22"/>
  <c r="H78" i="22"/>
  <c r="G78" i="22" s="1"/>
  <c r="F78" i="22"/>
  <c r="E83" i="22"/>
  <c r="H83" i="22"/>
  <c r="G83" i="22" s="1"/>
  <c r="F83" i="22"/>
  <c r="H102" i="22"/>
  <c r="G102" i="22" s="1"/>
  <c r="F102" i="22" s="1"/>
  <c r="E102" i="22" s="1"/>
  <c r="E102" i="4"/>
  <c r="G102" i="4" s="1"/>
  <c r="O102" i="4" s="1"/>
  <c r="H106" i="22"/>
  <c r="G106" i="22" s="1"/>
  <c r="F106" i="22" s="1"/>
  <c r="E106" i="22" s="1"/>
  <c r="E106" i="4"/>
  <c r="G106" i="4" s="1"/>
  <c r="O106" i="4" s="1"/>
  <c r="M106" i="4" s="1"/>
  <c r="P106" i="4" s="1"/>
  <c r="E109" i="4"/>
  <c r="G109" i="4" s="1"/>
  <c r="O109" i="4" s="1"/>
  <c r="M109" i="4" s="1"/>
  <c r="P109" i="4" s="1"/>
  <c r="H109" i="22"/>
  <c r="G109" i="22" s="1"/>
  <c r="F109" i="22" s="1"/>
  <c r="E109" i="22" s="1"/>
  <c r="F124" i="22"/>
  <c r="E124" i="22"/>
  <c r="H124" i="22"/>
  <c r="G124" i="22" s="1"/>
  <c r="E15" i="22"/>
  <c r="F15" i="22"/>
  <c r="H15" i="22"/>
  <c r="G15" i="22" s="1"/>
  <c r="E19" i="4"/>
  <c r="G19" i="4" s="1"/>
  <c r="O19" i="4" s="1"/>
  <c r="M19" i="4" s="1"/>
  <c r="P19" i="4" s="1"/>
  <c r="H19" i="22"/>
  <c r="G19" i="22" s="1"/>
  <c r="F19" i="22" s="1"/>
  <c r="E19" i="22" s="1"/>
  <c r="H33" i="22"/>
  <c r="G33" i="22" s="1"/>
  <c r="E33" i="22"/>
  <c r="F33" i="22"/>
  <c r="H18" i="22"/>
  <c r="G18" i="22" s="1"/>
  <c r="F18" i="22" s="1"/>
  <c r="E18" i="22" s="1"/>
  <c r="H26" i="22"/>
  <c r="G26" i="22" s="1"/>
  <c r="F26" i="22"/>
  <c r="E26" i="22"/>
  <c r="F44" i="22"/>
  <c r="H44" i="22"/>
  <c r="G44" i="22" s="1"/>
  <c r="E44" i="22"/>
  <c r="H47" i="22"/>
  <c r="G47" i="22" s="1"/>
  <c r="F47" i="22" s="1"/>
  <c r="E47" i="22" s="1"/>
  <c r="F52" i="22"/>
  <c r="E52" i="22"/>
  <c r="H52" i="22"/>
  <c r="G52" i="22" s="1"/>
  <c r="E60" i="22"/>
  <c r="F60" i="22"/>
  <c r="H60" i="22"/>
  <c r="G60" i="22" s="1"/>
  <c r="E64" i="22"/>
  <c r="H64" i="22"/>
  <c r="G64" i="22" s="1"/>
  <c r="F64" i="22"/>
  <c r="E67" i="4"/>
  <c r="G67" i="4" s="1"/>
  <c r="O67" i="4" s="1"/>
  <c r="H72" i="22"/>
  <c r="G72" i="22" s="1"/>
  <c r="F72" i="22" s="1"/>
  <c r="E72" i="22" s="1"/>
  <c r="E82" i="4"/>
  <c r="G82" i="4" s="1"/>
  <c r="O82" i="4" s="1"/>
  <c r="F88" i="22"/>
  <c r="H88" i="22"/>
  <c r="G88" i="22" s="1"/>
  <c r="E88" i="22"/>
  <c r="E101" i="4"/>
  <c r="G101" i="4" s="1"/>
  <c r="O101" i="4" s="1"/>
  <c r="H101" i="22"/>
  <c r="G101" i="22" s="1"/>
  <c r="F101" i="22" s="1"/>
  <c r="E101" i="22" s="1"/>
  <c r="E117" i="22"/>
  <c r="F117" i="22"/>
  <c r="H117" i="22"/>
  <c r="G117" i="22" s="1"/>
  <c r="E123" i="22"/>
  <c r="H123" i="22"/>
  <c r="G123" i="22" s="1"/>
  <c r="F123" i="22"/>
  <c r="H17" i="22"/>
  <c r="G17" i="22" s="1"/>
  <c r="F17" i="22" s="1"/>
  <c r="E17" i="22" s="1"/>
  <c r="H25" i="22"/>
  <c r="G25" i="22" s="1"/>
  <c r="F25" i="22" s="1"/>
  <c r="E25" i="22" s="1"/>
  <c r="F34" i="22"/>
  <c r="H34" i="22"/>
  <c r="G34" i="22" s="1"/>
  <c r="E34" i="22"/>
  <c r="E43" i="22"/>
  <c r="F43" i="22"/>
  <c r="H43" i="22"/>
  <c r="G43" i="22" s="1"/>
  <c r="H46" i="22"/>
  <c r="G46" i="22" s="1"/>
  <c r="F46" i="22"/>
  <c r="E46" i="22"/>
  <c r="H54" i="22"/>
  <c r="G54" i="22" s="1"/>
  <c r="E54" i="22"/>
  <c r="F54" i="22"/>
  <c r="E56" i="22"/>
  <c r="F56" i="22"/>
  <c r="H56" i="22"/>
  <c r="G56" i="22" s="1"/>
  <c r="F63" i="22"/>
  <c r="E63" i="22"/>
  <c r="H63" i="22"/>
  <c r="G63" i="22" s="1"/>
  <c r="E66" i="4"/>
  <c r="G66" i="4" s="1"/>
  <c r="O66" i="4" s="1"/>
  <c r="M66" i="4" s="1"/>
  <c r="P66" i="4" s="1"/>
  <c r="H74" i="22"/>
  <c r="G74" i="22" s="1"/>
  <c r="F74" i="22" s="1"/>
  <c r="E74" i="22" s="1"/>
  <c r="E77" i="22"/>
  <c r="H77" i="22"/>
  <c r="G77" i="22" s="1"/>
  <c r="F77" i="22"/>
  <c r="H79" i="22"/>
  <c r="G79" i="22" s="1"/>
  <c r="F79" i="22" s="1"/>
  <c r="E79" i="22" s="1"/>
  <c r="H90" i="22"/>
  <c r="G90" i="22" s="1"/>
  <c r="F90" i="22" s="1"/>
  <c r="E90" i="22" s="1"/>
  <c r="M100" i="22"/>
  <c r="R100" i="22" s="1"/>
  <c r="H105" i="22"/>
  <c r="G105" i="22" s="1"/>
  <c r="F105" i="22" s="1"/>
  <c r="E105" i="22" s="1"/>
  <c r="E105" i="4"/>
  <c r="G105" i="4" s="1"/>
  <c r="O105" i="4" s="1"/>
  <c r="H107" i="22"/>
  <c r="G107" i="22" s="1"/>
  <c r="E107" i="22"/>
  <c r="F107" i="22"/>
  <c r="H110" i="22"/>
  <c r="G110" i="22" s="1"/>
  <c r="E110" i="22"/>
  <c r="F110" i="22"/>
  <c r="H114" i="22"/>
  <c r="G114" i="22" s="1"/>
  <c r="F114" i="22" s="1"/>
  <c r="E114" i="22" s="1"/>
  <c r="H121" i="22"/>
  <c r="G121" i="22" s="1"/>
  <c r="F121" i="22"/>
  <c r="E121" i="22"/>
  <c r="H125" i="22"/>
  <c r="G125" i="22" s="1"/>
  <c r="E125" i="22"/>
  <c r="F125" i="22"/>
  <c r="E127" i="22"/>
  <c r="F127" i="22"/>
  <c r="H127" i="22"/>
  <c r="G127" i="22" s="1"/>
  <c r="H128" i="22"/>
  <c r="G128" i="22" s="1"/>
  <c r="F128" i="22"/>
  <c r="E128" i="22"/>
  <c r="AE105" i="22" l="1"/>
  <c r="AD105" i="22"/>
  <c r="J105" i="22"/>
  <c r="I105" i="22"/>
  <c r="AC105" i="22"/>
  <c r="AB105" i="22"/>
  <c r="AE123" i="22"/>
  <c r="P123" i="22"/>
  <c r="AB123" i="22"/>
  <c r="J123" i="22"/>
  <c r="N123" i="22" s="1"/>
  <c r="S123" i="22" s="1"/>
  <c r="O123" i="22"/>
  <c r="I123" i="22"/>
  <c r="AD123" i="22"/>
  <c r="AC123" i="22"/>
  <c r="AE109" i="22"/>
  <c r="AB109" i="22"/>
  <c r="AC109" i="22"/>
  <c r="J109" i="22"/>
  <c r="I109" i="22"/>
  <c r="AD109" i="22"/>
  <c r="AE83" i="22"/>
  <c r="O83" i="22"/>
  <c r="AC83" i="22"/>
  <c r="AB83" i="22"/>
  <c r="P83" i="22"/>
  <c r="J83" i="22"/>
  <c r="N83" i="22" s="1"/>
  <c r="I83" i="22"/>
  <c r="AD83" i="22"/>
  <c r="AD120" i="22"/>
  <c r="AB120" i="22"/>
  <c r="O120" i="22"/>
  <c r="J120" i="22"/>
  <c r="N120" i="22" s="1"/>
  <c r="P120" i="22"/>
  <c r="I120" i="22"/>
  <c r="M120" i="22" s="1"/>
  <c r="R120" i="22" s="1"/>
  <c r="AE120" i="22"/>
  <c r="AC120" i="22"/>
  <c r="AE113" i="22"/>
  <c r="AD113" i="22"/>
  <c r="AB113" i="22"/>
  <c r="J113" i="22"/>
  <c r="N113" i="22" s="1"/>
  <c r="AC113" i="22"/>
  <c r="I113" i="22"/>
  <c r="P113" i="22"/>
  <c r="O113" i="22"/>
  <c r="AE127" i="22"/>
  <c r="AC127" i="22"/>
  <c r="P127" i="22"/>
  <c r="AD127" i="22"/>
  <c r="AB127" i="22"/>
  <c r="O127" i="22"/>
  <c r="J127" i="22"/>
  <c r="I127" i="22"/>
  <c r="AC54" i="22"/>
  <c r="AD54" i="22"/>
  <c r="AB54" i="22"/>
  <c r="P54" i="22"/>
  <c r="O54" i="22"/>
  <c r="J54" i="22"/>
  <c r="N54" i="22" s="1"/>
  <c r="I54" i="22"/>
  <c r="AE54" i="22"/>
  <c r="AD60" i="22"/>
  <c r="AC60" i="22"/>
  <c r="AB60" i="22"/>
  <c r="P60" i="22"/>
  <c r="J60" i="22"/>
  <c r="O60" i="22"/>
  <c r="I60" i="22"/>
  <c r="AE60" i="22"/>
  <c r="AB26" i="22"/>
  <c r="AC26" i="22"/>
  <c r="P26" i="22"/>
  <c r="J26" i="22"/>
  <c r="N26" i="22" s="1"/>
  <c r="AE26" i="22"/>
  <c r="O26" i="22"/>
  <c r="I26" i="22"/>
  <c r="AD26" i="22"/>
  <c r="AD72" i="22"/>
  <c r="AB72" i="22"/>
  <c r="AE72" i="22"/>
  <c r="AC72" i="22"/>
  <c r="J72" i="22"/>
  <c r="I72" i="22"/>
  <c r="M72" i="22" s="1"/>
  <c r="AB52" i="22"/>
  <c r="P52" i="22"/>
  <c r="O52" i="22"/>
  <c r="J52" i="22"/>
  <c r="AE52" i="22"/>
  <c r="I52" i="22"/>
  <c r="M52" i="22" s="1"/>
  <c r="R52" i="22" s="1"/>
  <c r="AD52" i="22"/>
  <c r="AC52" i="22"/>
  <c r="AE53" i="22"/>
  <c r="AD53" i="22"/>
  <c r="AC53" i="22"/>
  <c r="AB53" i="22"/>
  <c r="I53" i="22"/>
  <c r="M53" i="22" s="1"/>
  <c r="R53" i="22" s="1"/>
  <c r="P53" i="22"/>
  <c r="O53" i="22"/>
  <c r="J53" i="22"/>
  <c r="N53" i="22" s="1"/>
  <c r="O128" i="22"/>
  <c r="AE128" i="22"/>
  <c r="AD128" i="22"/>
  <c r="P128" i="22"/>
  <c r="J128" i="22"/>
  <c r="N128" i="22" s="1"/>
  <c r="I128" i="22"/>
  <c r="M128" i="22" s="1"/>
  <c r="R128" i="22" s="1"/>
  <c r="AC128" i="22"/>
  <c r="AB128" i="22"/>
  <c r="AE79" i="22"/>
  <c r="AC79" i="22"/>
  <c r="J79" i="22"/>
  <c r="AD79" i="22"/>
  <c r="I79" i="22"/>
  <c r="M79" i="22" s="1"/>
  <c r="AB79" i="22"/>
  <c r="AD25" i="22"/>
  <c r="AC25" i="22"/>
  <c r="AB25" i="22"/>
  <c r="I25" i="22"/>
  <c r="AE25" i="22"/>
  <c r="J25" i="22"/>
  <c r="AE101" i="22"/>
  <c r="AD101" i="22"/>
  <c r="AC101" i="22"/>
  <c r="AB101" i="22"/>
  <c r="J101" i="22"/>
  <c r="I101" i="22"/>
  <c r="AB18" i="22"/>
  <c r="AC18" i="22"/>
  <c r="J18" i="22"/>
  <c r="N18" i="22" s="1"/>
  <c r="AE18" i="22"/>
  <c r="I18" i="22"/>
  <c r="AD18" i="22"/>
  <c r="AD15" i="22"/>
  <c r="AC15" i="22"/>
  <c r="AB15" i="22"/>
  <c r="J15" i="22"/>
  <c r="N15" i="22" s="1"/>
  <c r="I15" i="22"/>
  <c r="M15" i="22" s="1"/>
  <c r="R15" i="22" s="1"/>
  <c r="AE15" i="22"/>
  <c r="P15" i="22"/>
  <c r="O15" i="22"/>
  <c r="AC70" i="22"/>
  <c r="AE70" i="22"/>
  <c r="AD70" i="22"/>
  <c r="AB70" i="22"/>
  <c r="J70" i="22"/>
  <c r="I70" i="22"/>
  <c r="M70" i="22" s="1"/>
  <c r="AB48" i="22"/>
  <c r="J48" i="22"/>
  <c r="N48" i="22" s="1"/>
  <c r="AE48" i="22"/>
  <c r="I48" i="22"/>
  <c r="AD48" i="22"/>
  <c r="AC48" i="22"/>
  <c r="AE98" i="22"/>
  <c r="O98" i="22"/>
  <c r="AD98" i="22"/>
  <c r="AC98" i="22"/>
  <c r="AB98" i="22"/>
  <c r="P98" i="22"/>
  <c r="J98" i="22"/>
  <c r="N98" i="22" s="1"/>
  <c r="I98" i="22"/>
  <c r="AB24" i="22"/>
  <c r="J24" i="22"/>
  <c r="N24" i="22" s="1"/>
  <c r="AE24" i="22"/>
  <c r="I24" i="22"/>
  <c r="M24" i="22" s="1"/>
  <c r="R24" i="22" s="1"/>
  <c r="AD24" i="22"/>
  <c r="P24" i="22"/>
  <c r="AC24" i="22"/>
  <c r="O24" i="22"/>
  <c r="AE119" i="22"/>
  <c r="AD119" i="22"/>
  <c r="AC119" i="22"/>
  <c r="P119" i="22"/>
  <c r="J119" i="22"/>
  <c r="O119" i="22"/>
  <c r="I119" i="22"/>
  <c r="M119" i="22" s="1"/>
  <c r="R119" i="22" s="1"/>
  <c r="AB119" i="22"/>
  <c r="AE57" i="22"/>
  <c r="AD57" i="22"/>
  <c r="I57" i="22"/>
  <c r="AC57" i="22"/>
  <c r="P57" i="22"/>
  <c r="AB57" i="22"/>
  <c r="O57" i="22"/>
  <c r="J57" i="22"/>
  <c r="AB116" i="22"/>
  <c r="AE116" i="22"/>
  <c r="J116" i="22"/>
  <c r="N116" i="22" s="1"/>
  <c r="AD116" i="22"/>
  <c r="I116" i="22"/>
  <c r="AC116" i="22"/>
  <c r="P116" i="22"/>
  <c r="O116" i="22"/>
  <c r="AD76" i="22"/>
  <c r="AC76" i="22"/>
  <c r="AB76" i="22"/>
  <c r="P76" i="22"/>
  <c r="AE76" i="22"/>
  <c r="J76" i="22"/>
  <c r="I76" i="22"/>
  <c r="M76" i="22" s="1"/>
  <c r="R76" i="22" s="1"/>
  <c r="O76" i="22"/>
  <c r="AE65" i="22"/>
  <c r="AD65" i="22"/>
  <c r="AB65" i="22"/>
  <c r="I65" i="22"/>
  <c r="M65" i="22" s="1"/>
  <c r="R65" i="22" s="1"/>
  <c r="P65" i="22"/>
  <c r="AC65" i="22"/>
  <c r="O65" i="22"/>
  <c r="J65" i="22"/>
  <c r="N65" i="22" s="1"/>
  <c r="AD51" i="22"/>
  <c r="AC51" i="22"/>
  <c r="AB51" i="22"/>
  <c r="P51" i="22"/>
  <c r="O51" i="22"/>
  <c r="J51" i="22"/>
  <c r="I51" i="22"/>
  <c r="M51" i="22" s="1"/>
  <c r="R51" i="22" s="1"/>
  <c r="AE51" i="22"/>
  <c r="AC86" i="22"/>
  <c r="AD86" i="22"/>
  <c r="AB86" i="22"/>
  <c r="P86" i="22"/>
  <c r="O86" i="22"/>
  <c r="J86" i="22"/>
  <c r="I86" i="22"/>
  <c r="M86" i="22" s="1"/>
  <c r="R86" i="22" s="1"/>
  <c r="AE86" i="22"/>
  <c r="AD35" i="22"/>
  <c r="AC35" i="22"/>
  <c r="AB35" i="22"/>
  <c r="P35" i="22"/>
  <c r="O35" i="22"/>
  <c r="J35" i="22"/>
  <c r="I35" i="22"/>
  <c r="M35" i="22" s="1"/>
  <c r="R35" i="22" s="1"/>
  <c r="AE35" i="22"/>
  <c r="AE121" i="22"/>
  <c r="AD121" i="22"/>
  <c r="P121" i="22"/>
  <c r="J121" i="22"/>
  <c r="N121" i="22" s="1"/>
  <c r="O121" i="22"/>
  <c r="I121" i="22"/>
  <c r="AC121" i="22"/>
  <c r="AB121" i="22"/>
  <c r="AE107" i="22"/>
  <c r="P107" i="22"/>
  <c r="AD107" i="22"/>
  <c r="AC107" i="22"/>
  <c r="AB107" i="22"/>
  <c r="J107" i="22"/>
  <c r="O107" i="22"/>
  <c r="I107" i="22"/>
  <c r="M107" i="22" s="1"/>
  <c r="R107" i="22" s="1"/>
  <c r="AD17" i="22"/>
  <c r="AC17" i="22"/>
  <c r="AB17" i="22"/>
  <c r="I17" i="22"/>
  <c r="M17" i="22" s="1"/>
  <c r="AE17" i="22"/>
  <c r="J17" i="22"/>
  <c r="AC102" i="22"/>
  <c r="AE102" i="22"/>
  <c r="AD102" i="22"/>
  <c r="AB102" i="22"/>
  <c r="J102" i="22"/>
  <c r="I102" i="22"/>
  <c r="M102" i="22" s="1"/>
  <c r="AD88" i="22"/>
  <c r="P88" i="22"/>
  <c r="AB88" i="22"/>
  <c r="J88" i="22"/>
  <c r="N88" i="22" s="1"/>
  <c r="I88" i="22"/>
  <c r="M88" i="22" s="1"/>
  <c r="R88" i="22" s="1"/>
  <c r="AE88" i="22"/>
  <c r="AC88" i="22"/>
  <c r="O88" i="22"/>
  <c r="AD33" i="22"/>
  <c r="AC33" i="22"/>
  <c r="AB33" i="22"/>
  <c r="P33" i="22"/>
  <c r="I33" i="22"/>
  <c r="M33" i="22" s="1"/>
  <c r="R33" i="22" s="1"/>
  <c r="AE33" i="22"/>
  <c r="O33" i="22"/>
  <c r="J33" i="22"/>
  <c r="N33" i="22" s="1"/>
  <c r="AB42" i="22"/>
  <c r="AC42" i="22"/>
  <c r="P42" i="22"/>
  <c r="J42" i="22"/>
  <c r="N42" i="22" s="1"/>
  <c r="AE42" i="22"/>
  <c r="O42" i="22"/>
  <c r="I42" i="22"/>
  <c r="AD42" i="22"/>
  <c r="AD23" i="22"/>
  <c r="AC23" i="22"/>
  <c r="AB23" i="22"/>
  <c r="J23" i="22"/>
  <c r="N23" i="22" s="1"/>
  <c r="I23" i="22"/>
  <c r="M23" i="22" s="1"/>
  <c r="R23" i="22" s="1"/>
  <c r="AE23" i="22"/>
  <c r="P23" i="22"/>
  <c r="O23" i="22"/>
  <c r="AE114" i="22"/>
  <c r="AB114" i="22"/>
  <c r="AD114" i="22"/>
  <c r="J114" i="22"/>
  <c r="I114" i="22"/>
  <c r="M114" i="22" s="1"/>
  <c r="AC114" i="22"/>
  <c r="AE74" i="22"/>
  <c r="AC74" i="22"/>
  <c r="AB74" i="22"/>
  <c r="AD74" i="22"/>
  <c r="J74" i="22"/>
  <c r="N74" i="22" s="1"/>
  <c r="I74" i="22"/>
  <c r="M74" i="22" s="1"/>
  <c r="AD43" i="22"/>
  <c r="AC43" i="22"/>
  <c r="AB43" i="22"/>
  <c r="P43" i="22"/>
  <c r="O43" i="22"/>
  <c r="J43" i="22"/>
  <c r="I43" i="22"/>
  <c r="M43" i="22" s="1"/>
  <c r="R43" i="22" s="1"/>
  <c r="AE43" i="22"/>
  <c r="AD19" i="22"/>
  <c r="AC19" i="22"/>
  <c r="AB19" i="22"/>
  <c r="J19" i="22"/>
  <c r="N19" i="22" s="1"/>
  <c r="I19" i="22"/>
  <c r="M19" i="22" s="1"/>
  <c r="AE19" i="22"/>
  <c r="AB34" i="22"/>
  <c r="AC34" i="22"/>
  <c r="P34" i="22"/>
  <c r="J34" i="22"/>
  <c r="N34" i="22" s="1"/>
  <c r="AE34" i="22"/>
  <c r="O34" i="22"/>
  <c r="I34" i="22"/>
  <c r="M34" i="22" s="1"/>
  <c r="R34" i="22" s="1"/>
  <c r="AD34" i="22"/>
  <c r="AD47" i="22"/>
  <c r="AC47" i="22"/>
  <c r="AB47" i="22"/>
  <c r="J47" i="22"/>
  <c r="N47" i="22" s="1"/>
  <c r="I47" i="22"/>
  <c r="M47" i="22" s="1"/>
  <c r="AE47" i="22"/>
  <c r="AE64" i="22"/>
  <c r="AD64" i="22"/>
  <c r="O64" i="22"/>
  <c r="J64" i="22"/>
  <c r="N64" i="22" s="1"/>
  <c r="I64" i="22"/>
  <c r="M64" i="22" s="1"/>
  <c r="R64" i="22" s="1"/>
  <c r="AC64" i="22"/>
  <c r="AB64" i="22"/>
  <c r="P64" i="22"/>
  <c r="AB44" i="22"/>
  <c r="O44" i="22"/>
  <c r="J44" i="22"/>
  <c r="N44" i="22" s="1"/>
  <c r="AE44" i="22"/>
  <c r="I44" i="22"/>
  <c r="M44" i="22" s="1"/>
  <c r="R44" i="22" s="1"/>
  <c r="AD44" i="22"/>
  <c r="AC44" i="22"/>
  <c r="P44" i="22"/>
  <c r="AD124" i="22"/>
  <c r="AC124" i="22"/>
  <c r="AB124" i="22"/>
  <c r="P124" i="22"/>
  <c r="J124" i="22"/>
  <c r="N124" i="22" s="1"/>
  <c r="O124" i="22"/>
  <c r="I124" i="22"/>
  <c r="M124" i="22" s="1"/>
  <c r="R124" i="22" s="1"/>
  <c r="AE124" i="22"/>
  <c r="AE77" i="22"/>
  <c r="AB77" i="22"/>
  <c r="AC77" i="22"/>
  <c r="I77" i="22"/>
  <c r="M77" i="22" s="1"/>
  <c r="R77" i="22" s="1"/>
  <c r="P77" i="22"/>
  <c r="O77" i="22"/>
  <c r="AD77" i="22"/>
  <c r="J77" i="22"/>
  <c r="N77" i="22" s="1"/>
  <c r="AD56" i="22"/>
  <c r="AB56" i="22"/>
  <c r="J56" i="22"/>
  <c r="N56" i="22" s="1"/>
  <c r="I56" i="22"/>
  <c r="M56" i="22" s="1"/>
  <c r="R56" i="22" s="1"/>
  <c r="AE56" i="22"/>
  <c r="AC56" i="22"/>
  <c r="P56" i="22"/>
  <c r="O56" i="22"/>
  <c r="AE55" i="22"/>
  <c r="AD55" i="22"/>
  <c r="AC55" i="22"/>
  <c r="O55" i="22"/>
  <c r="P55" i="22"/>
  <c r="J55" i="22"/>
  <c r="N55" i="22" s="1"/>
  <c r="S55" i="22" s="1"/>
  <c r="I55" i="22"/>
  <c r="AB55" i="22"/>
  <c r="AE122" i="22"/>
  <c r="AC122" i="22"/>
  <c r="AB122" i="22"/>
  <c r="P122" i="22"/>
  <c r="O122" i="22"/>
  <c r="AD122" i="22"/>
  <c r="J122" i="22"/>
  <c r="I122" i="22"/>
  <c r="M122" i="22" s="1"/>
  <c r="R122" i="22" s="1"/>
  <c r="AE62" i="22"/>
  <c r="AD62" i="22"/>
  <c r="AC62" i="22"/>
  <c r="AB62" i="22"/>
  <c r="P62" i="22"/>
  <c r="O62" i="22"/>
  <c r="J62" i="22"/>
  <c r="N62" i="22" s="1"/>
  <c r="I62" i="22"/>
  <c r="M62" i="22" s="1"/>
  <c r="R62" i="22" s="1"/>
  <c r="AD31" i="22"/>
  <c r="AC31" i="22"/>
  <c r="AB31" i="22"/>
  <c r="J31" i="22"/>
  <c r="N31" i="22" s="1"/>
  <c r="I31" i="22"/>
  <c r="M31" i="22" s="1"/>
  <c r="AE31" i="22"/>
  <c r="AE115" i="22"/>
  <c r="P115" i="22"/>
  <c r="AC115" i="22"/>
  <c r="AB115" i="22"/>
  <c r="J115" i="22"/>
  <c r="N115" i="22" s="1"/>
  <c r="AD115" i="22"/>
  <c r="I115" i="22"/>
  <c r="M115" i="22" s="1"/>
  <c r="R115" i="22" s="1"/>
  <c r="O115" i="22"/>
  <c r="AD49" i="22"/>
  <c r="AC49" i="22"/>
  <c r="AB49" i="22"/>
  <c r="I49" i="22"/>
  <c r="AE49" i="22"/>
  <c r="J49" i="22"/>
  <c r="N49" i="22" s="1"/>
  <c r="AD27" i="22"/>
  <c r="AC27" i="22"/>
  <c r="AB27" i="22"/>
  <c r="P27" i="22"/>
  <c r="O27" i="22"/>
  <c r="J27" i="22"/>
  <c r="I27" i="22"/>
  <c r="M27" i="22" s="1"/>
  <c r="R27" i="22" s="1"/>
  <c r="AE27" i="22"/>
  <c r="AB22" i="22"/>
  <c r="AC22" i="22"/>
  <c r="P22" i="22"/>
  <c r="O22" i="22"/>
  <c r="J22" i="22"/>
  <c r="N22" i="22" s="1"/>
  <c r="AE22" i="22"/>
  <c r="I22" i="22"/>
  <c r="M22" i="22" s="1"/>
  <c r="R22" i="22" s="1"/>
  <c r="AD22" i="22"/>
  <c r="AB32" i="22"/>
  <c r="J32" i="22"/>
  <c r="N32" i="22" s="1"/>
  <c r="AE32" i="22"/>
  <c r="I32" i="22"/>
  <c r="M32" i="22" s="1"/>
  <c r="R32" i="22" s="1"/>
  <c r="AD32" i="22"/>
  <c r="P32" i="22"/>
  <c r="AC32" i="22"/>
  <c r="O32" i="22"/>
  <c r="AE69" i="22"/>
  <c r="AD69" i="22"/>
  <c r="AC69" i="22"/>
  <c r="AB69" i="22"/>
  <c r="I69" i="22"/>
  <c r="M69" i="22" s="1"/>
  <c r="R69" i="22" s="1"/>
  <c r="P69" i="22"/>
  <c r="O69" i="22"/>
  <c r="J69" i="22"/>
  <c r="N69" i="22" s="1"/>
  <c r="AB50" i="22"/>
  <c r="AC50" i="22"/>
  <c r="P50" i="22"/>
  <c r="J50" i="22"/>
  <c r="N50" i="22" s="1"/>
  <c r="AE50" i="22"/>
  <c r="O50" i="22"/>
  <c r="I50" i="22"/>
  <c r="M50" i="22" s="1"/>
  <c r="R50" i="22" s="1"/>
  <c r="AD50" i="22"/>
  <c r="AD11" i="22"/>
  <c r="AC11" i="22"/>
  <c r="AB11" i="22"/>
  <c r="J11" i="22"/>
  <c r="N11" i="22" s="1"/>
  <c r="I11" i="22"/>
  <c r="AE11" i="22"/>
  <c r="AD104" i="22"/>
  <c r="AB104" i="22"/>
  <c r="AE104" i="22"/>
  <c r="AC104" i="22"/>
  <c r="J104" i="22"/>
  <c r="N104" i="22" s="1"/>
  <c r="I104" i="22"/>
  <c r="M104" i="22" s="1"/>
  <c r="R104" i="22" s="1"/>
  <c r="P104" i="22"/>
  <c r="O104" i="22"/>
  <c r="AE87" i="22"/>
  <c r="AD87" i="22"/>
  <c r="AC87" i="22"/>
  <c r="O87" i="22"/>
  <c r="J87" i="22"/>
  <c r="N87" i="22" s="1"/>
  <c r="I87" i="22"/>
  <c r="M87" i="22" s="1"/>
  <c r="R87" i="22" s="1"/>
  <c r="AB87" i="22"/>
  <c r="P87" i="22"/>
  <c r="AB68" i="22"/>
  <c r="P68" i="22"/>
  <c r="AC68" i="22"/>
  <c r="J68" i="22"/>
  <c r="N68" i="22" s="1"/>
  <c r="I68" i="22"/>
  <c r="M68" i="22" s="1"/>
  <c r="R68" i="22" s="1"/>
  <c r="O68" i="22"/>
  <c r="AE68" i="22"/>
  <c r="AD68" i="22"/>
  <c r="AB20" i="22"/>
  <c r="J20" i="22"/>
  <c r="N20" i="22" s="1"/>
  <c r="AE20" i="22"/>
  <c r="I20" i="22"/>
  <c r="M20" i="22" s="1"/>
  <c r="AD20" i="22"/>
  <c r="AC20" i="22"/>
  <c r="AD41" i="22"/>
  <c r="AC41" i="22"/>
  <c r="AB41" i="22"/>
  <c r="I41" i="22"/>
  <c r="M41" i="22" s="1"/>
  <c r="AE41" i="22"/>
  <c r="J41" i="22"/>
  <c r="N41" i="22" s="1"/>
  <c r="AB84" i="22"/>
  <c r="P84" i="22"/>
  <c r="J84" i="22"/>
  <c r="N84" i="22" s="1"/>
  <c r="AE84" i="22"/>
  <c r="I84" i="22"/>
  <c r="M84" i="22" s="1"/>
  <c r="R84" i="22" s="1"/>
  <c r="AD84" i="22"/>
  <c r="AC84" i="22"/>
  <c r="O84" i="22"/>
  <c r="AE58" i="22"/>
  <c r="AC58" i="22"/>
  <c r="AB58" i="22"/>
  <c r="O58" i="22"/>
  <c r="AD58" i="22"/>
  <c r="J58" i="22"/>
  <c r="N58" i="22" s="1"/>
  <c r="I58" i="22"/>
  <c r="M58" i="22" s="1"/>
  <c r="R58" i="22" s="1"/>
  <c r="P58" i="22"/>
  <c r="AB16" i="22"/>
  <c r="J16" i="22"/>
  <c r="N16" i="22" s="1"/>
  <c r="AE16" i="22"/>
  <c r="I16" i="22"/>
  <c r="M16" i="22" s="1"/>
  <c r="AD16" i="22"/>
  <c r="AC16" i="22"/>
  <c r="AD7" i="22"/>
  <c r="AC7" i="22"/>
  <c r="AB7" i="22"/>
  <c r="J7" i="22"/>
  <c r="N7" i="22" s="1"/>
  <c r="I7" i="22"/>
  <c r="M7" i="22" s="1"/>
  <c r="R7" i="22" s="1"/>
  <c r="AE7" i="22"/>
  <c r="P7" i="22"/>
  <c r="O7" i="22"/>
  <c r="AD108" i="22"/>
  <c r="AC108" i="22"/>
  <c r="AB108" i="22"/>
  <c r="AE108" i="22"/>
  <c r="J108" i="22"/>
  <c r="N108" i="22" s="1"/>
  <c r="I108" i="22"/>
  <c r="M108" i="22" s="1"/>
  <c r="AE61" i="22"/>
  <c r="AB61" i="22"/>
  <c r="O61" i="22"/>
  <c r="I61" i="22"/>
  <c r="M61" i="22" s="1"/>
  <c r="R61" i="22" s="1"/>
  <c r="AD61" i="22"/>
  <c r="AC61" i="22"/>
  <c r="P61" i="22"/>
  <c r="J61" i="22"/>
  <c r="N61" i="22" s="1"/>
  <c r="AD39" i="22"/>
  <c r="AC39" i="22"/>
  <c r="AB39" i="22"/>
  <c r="J39" i="22"/>
  <c r="N39" i="22" s="1"/>
  <c r="I39" i="22"/>
  <c r="M39" i="22" s="1"/>
  <c r="AE39" i="22"/>
  <c r="T10" i="22"/>
  <c r="S10" i="22"/>
  <c r="O110" i="22"/>
  <c r="AE110" i="22"/>
  <c r="AD110" i="22"/>
  <c r="AC110" i="22"/>
  <c r="P110" i="22"/>
  <c r="AB110" i="22"/>
  <c r="J110" i="22"/>
  <c r="N110" i="22" s="1"/>
  <c r="I110" i="22"/>
  <c r="M110" i="22" s="1"/>
  <c r="R110" i="22" s="1"/>
  <c r="AE125" i="22"/>
  <c r="AB125" i="22"/>
  <c r="P125" i="22"/>
  <c r="O125" i="22"/>
  <c r="J125" i="22"/>
  <c r="N125" i="22" s="1"/>
  <c r="I125" i="22"/>
  <c r="M125" i="22" s="1"/>
  <c r="R125" i="22" s="1"/>
  <c r="AD125" i="22"/>
  <c r="AC125" i="22"/>
  <c r="AE90" i="22"/>
  <c r="AC90" i="22"/>
  <c r="AB90" i="22"/>
  <c r="AD90" i="22"/>
  <c r="J90" i="22"/>
  <c r="N90" i="22" s="1"/>
  <c r="I90" i="22"/>
  <c r="M90" i="22" s="1"/>
  <c r="AE63" i="22"/>
  <c r="AC63" i="22"/>
  <c r="O63" i="22"/>
  <c r="AD63" i="22"/>
  <c r="AB63" i="22"/>
  <c r="P63" i="22"/>
  <c r="J63" i="22"/>
  <c r="N63" i="22" s="1"/>
  <c r="I63" i="22"/>
  <c r="M63" i="22" s="1"/>
  <c r="R63" i="22" s="1"/>
  <c r="AB46" i="22"/>
  <c r="AC46" i="22"/>
  <c r="P46" i="22"/>
  <c r="O46" i="22"/>
  <c r="J46" i="22"/>
  <c r="N46" i="22" s="1"/>
  <c r="AE46" i="22"/>
  <c r="I46" i="22"/>
  <c r="M46" i="22" s="1"/>
  <c r="R46" i="22" s="1"/>
  <c r="AD46" i="22"/>
  <c r="AE117" i="22"/>
  <c r="AD117" i="22"/>
  <c r="AC117" i="22"/>
  <c r="O117" i="22"/>
  <c r="AB117" i="22"/>
  <c r="J117" i="22"/>
  <c r="N117" i="22" s="1"/>
  <c r="I117" i="22"/>
  <c r="M117" i="22" s="1"/>
  <c r="R117" i="22" s="1"/>
  <c r="P117" i="22"/>
  <c r="AE106" i="22"/>
  <c r="AC106" i="22"/>
  <c r="AB106" i="22"/>
  <c r="AD106" i="22"/>
  <c r="J106" i="22"/>
  <c r="N106" i="22" s="1"/>
  <c r="I106" i="22"/>
  <c r="M106" i="22" s="1"/>
  <c r="AE78" i="22"/>
  <c r="AD78" i="22"/>
  <c r="AC78" i="22"/>
  <c r="O78" i="22"/>
  <c r="J78" i="22"/>
  <c r="N78" i="22" s="1"/>
  <c r="AB78" i="22"/>
  <c r="I78" i="22"/>
  <c r="M78" i="22" s="1"/>
  <c r="R78" i="22" s="1"/>
  <c r="P78" i="22"/>
  <c r="AD45" i="22"/>
  <c r="AC45" i="22"/>
  <c r="AB45" i="22"/>
  <c r="I45" i="22"/>
  <c r="M45" i="22" s="1"/>
  <c r="R45" i="22" s="1"/>
  <c r="AE45" i="22"/>
  <c r="P45" i="22"/>
  <c r="O45" i="22"/>
  <c r="J45" i="22"/>
  <c r="N45" i="22" s="1"/>
  <c r="AD9" i="22"/>
  <c r="AC9" i="22"/>
  <c r="AB9" i="22"/>
  <c r="P9" i="22"/>
  <c r="I9" i="22"/>
  <c r="M9" i="22" s="1"/>
  <c r="R9" i="22" s="1"/>
  <c r="AE9" i="22"/>
  <c r="O9" i="22"/>
  <c r="J9" i="22"/>
  <c r="N9" i="22" s="1"/>
  <c r="AB30" i="22"/>
  <c r="AC30" i="22"/>
  <c r="P30" i="22"/>
  <c r="O30" i="22"/>
  <c r="J30" i="22"/>
  <c r="N30" i="22" s="1"/>
  <c r="AE30" i="22"/>
  <c r="I30" i="22"/>
  <c r="M30" i="22" s="1"/>
  <c r="R30" i="22" s="1"/>
  <c r="AD30" i="22"/>
  <c r="M109" i="22"/>
  <c r="M18" i="22"/>
  <c r="E100" i="4"/>
  <c r="G100" i="4" s="1"/>
  <c r="O100" i="4" s="1"/>
  <c r="E10" i="4"/>
  <c r="G10" i="4" s="1"/>
  <c r="N57" i="22"/>
  <c r="N51" i="22"/>
  <c r="N86" i="22"/>
  <c r="N127" i="22"/>
  <c r="S127" i="22" s="1"/>
  <c r="N105" i="22"/>
  <c r="N43" i="22"/>
  <c r="M123" i="22"/>
  <c r="R123" i="22" s="1"/>
  <c r="N60" i="22"/>
  <c r="M60" i="22"/>
  <c r="R60" i="22" s="1"/>
  <c r="M49" i="22"/>
  <c r="N27" i="22"/>
  <c r="M11" i="22"/>
  <c r="N107" i="22"/>
  <c r="N79" i="22"/>
  <c r="E74" i="4"/>
  <c r="G74" i="4" s="1"/>
  <c r="E59" i="22"/>
  <c r="F59" i="22"/>
  <c r="H59" i="22"/>
  <c r="G59" i="22" s="1"/>
  <c r="E25" i="4"/>
  <c r="G25" i="4" s="1"/>
  <c r="F82" i="22"/>
  <c r="E82" i="22"/>
  <c r="H82" i="22"/>
  <c r="G82" i="22" s="1"/>
  <c r="F67" i="22"/>
  <c r="E67" i="22"/>
  <c r="H67" i="22"/>
  <c r="G67" i="22" s="1"/>
  <c r="N52" i="22"/>
  <c r="N109" i="22"/>
  <c r="N70" i="22"/>
  <c r="N122" i="22"/>
  <c r="N71" i="4"/>
  <c r="E31" i="4"/>
  <c r="G31" i="4" s="1"/>
  <c r="E20" i="4"/>
  <c r="G20" i="4" s="1"/>
  <c r="M57" i="22"/>
  <c r="R57" i="22" s="1"/>
  <c r="E8" i="22"/>
  <c r="H8" i="22"/>
  <c r="G8" i="22" s="1"/>
  <c r="F8" i="22"/>
  <c r="E39" i="4"/>
  <c r="G39" i="4" s="1"/>
  <c r="N35" i="22"/>
  <c r="M54" i="22"/>
  <c r="R54" i="22" s="1"/>
  <c r="N25" i="22"/>
  <c r="M25" i="22"/>
  <c r="E72" i="4"/>
  <c r="G72" i="4" s="1"/>
  <c r="N109" i="4"/>
  <c r="N102" i="22"/>
  <c r="N70" i="4"/>
  <c r="M55" i="22"/>
  <c r="R55" i="22" s="1"/>
  <c r="M113" i="22"/>
  <c r="R113" i="22" s="1"/>
  <c r="M98" i="22"/>
  <c r="R98" i="22" s="1"/>
  <c r="E73" i="4"/>
  <c r="G73" i="4" s="1"/>
  <c r="E49" i="4"/>
  <c r="G49" i="4" s="1"/>
  <c r="E16" i="4"/>
  <c r="G16" i="4" s="1"/>
  <c r="E108" i="4"/>
  <c r="G108" i="4" s="1"/>
  <c r="N8" i="4"/>
  <c r="N11" i="4"/>
  <c r="E114" i="4"/>
  <c r="G114" i="4" s="1"/>
  <c r="N66" i="4"/>
  <c r="E17" i="4"/>
  <c r="G17" i="4" s="1"/>
  <c r="M101" i="22"/>
  <c r="N101" i="22"/>
  <c r="N72" i="22"/>
  <c r="N106" i="4"/>
  <c r="M83" i="22"/>
  <c r="R83" i="22" s="1"/>
  <c r="H75" i="22"/>
  <c r="G75" i="22" s="1"/>
  <c r="F75" i="22"/>
  <c r="E75" i="22"/>
  <c r="M48" i="22"/>
  <c r="M116" i="22"/>
  <c r="R116" i="22" s="1"/>
  <c r="N76" i="22"/>
  <c r="F73" i="22"/>
  <c r="E73" i="22"/>
  <c r="H73" i="22"/>
  <c r="G73" i="22" s="1"/>
  <c r="E41" i="4"/>
  <c r="G41" i="4" s="1"/>
  <c r="M127" i="22"/>
  <c r="R127" i="22" s="1"/>
  <c r="M121" i="22"/>
  <c r="R121" i="22" s="1"/>
  <c r="N114" i="22"/>
  <c r="M105" i="22"/>
  <c r="E90" i="4"/>
  <c r="G90" i="4" s="1"/>
  <c r="E79" i="4"/>
  <c r="G79" i="4" s="1"/>
  <c r="F66" i="22"/>
  <c r="E66" i="22"/>
  <c r="H66" i="22"/>
  <c r="G66" i="22" s="1"/>
  <c r="E59" i="4"/>
  <c r="G59" i="4" s="1"/>
  <c r="N17" i="22"/>
  <c r="E47" i="4"/>
  <c r="G47" i="4" s="1"/>
  <c r="M26" i="22"/>
  <c r="R26" i="22" s="1"/>
  <c r="E18" i="4"/>
  <c r="G18" i="4" s="1"/>
  <c r="N19" i="4"/>
  <c r="E75" i="4"/>
  <c r="G75" i="4" s="1"/>
  <c r="E48" i="4"/>
  <c r="G48" i="4" s="1"/>
  <c r="H71" i="22"/>
  <c r="G71" i="22" s="1"/>
  <c r="E71" i="22"/>
  <c r="F71" i="22"/>
  <c r="M42" i="22"/>
  <c r="R42" i="22" s="1"/>
  <c r="N119" i="22"/>
  <c r="T127" i="22" l="1"/>
  <c r="T69" i="22"/>
  <c r="S69" i="22"/>
  <c r="T117" i="22"/>
  <c r="S117" i="22"/>
  <c r="T110" i="22"/>
  <c r="S110" i="22"/>
  <c r="S116" i="22"/>
  <c r="T116" i="22"/>
  <c r="AE75" i="22"/>
  <c r="AD75" i="22"/>
  <c r="AC75" i="22"/>
  <c r="J75" i="22"/>
  <c r="N75" i="22" s="1"/>
  <c r="AB75" i="22"/>
  <c r="I75" i="22"/>
  <c r="M75" i="22" s="1"/>
  <c r="AE82" i="22"/>
  <c r="AB82" i="22"/>
  <c r="J82" i="22"/>
  <c r="AD82" i="22"/>
  <c r="I82" i="22"/>
  <c r="AC82" i="22"/>
  <c r="S64" i="22"/>
  <c r="T64" i="22"/>
  <c r="T115" i="22"/>
  <c r="S115" i="22"/>
  <c r="S51" i="22"/>
  <c r="T51" i="22"/>
  <c r="S30" i="22"/>
  <c r="T30" i="22"/>
  <c r="AE73" i="22"/>
  <c r="AD73" i="22"/>
  <c r="I73" i="22"/>
  <c r="M73" i="22" s="1"/>
  <c r="AC73" i="22"/>
  <c r="AB73" i="22"/>
  <c r="J73" i="22"/>
  <c r="S65" i="22"/>
  <c r="T65" i="22"/>
  <c r="T122" i="22"/>
  <c r="S122" i="22"/>
  <c r="T27" i="22"/>
  <c r="S27" i="22"/>
  <c r="S42" i="22"/>
  <c r="T42" i="22"/>
  <c r="AE71" i="22"/>
  <c r="AD71" i="22"/>
  <c r="AC71" i="22"/>
  <c r="AB71" i="22"/>
  <c r="J71" i="22"/>
  <c r="N71" i="22" s="1"/>
  <c r="I71" i="22"/>
  <c r="T46" i="22"/>
  <c r="S46" i="22"/>
  <c r="S76" i="22"/>
  <c r="T76" i="22"/>
  <c r="AB8" i="22"/>
  <c r="J8" i="22"/>
  <c r="N8" i="22" s="1"/>
  <c r="AE8" i="22"/>
  <c r="I8" i="22"/>
  <c r="AD8" i="22"/>
  <c r="AC8" i="22"/>
  <c r="AE67" i="22"/>
  <c r="AC67" i="22"/>
  <c r="AB67" i="22"/>
  <c r="AD67" i="22"/>
  <c r="J67" i="22"/>
  <c r="N67" i="22" s="1"/>
  <c r="I67" i="22"/>
  <c r="M67" i="22" s="1"/>
  <c r="S26" i="22"/>
  <c r="T26" i="22"/>
  <c r="T77" i="22"/>
  <c r="S77" i="22"/>
  <c r="S45" i="22"/>
  <c r="T45" i="22"/>
  <c r="T55" i="22"/>
  <c r="T113" i="22"/>
  <c r="S113" i="22"/>
  <c r="S15" i="22"/>
  <c r="T15" i="22"/>
  <c r="S125" i="22"/>
  <c r="T125" i="22"/>
  <c r="AE59" i="22"/>
  <c r="AB59" i="22"/>
  <c r="J59" i="22"/>
  <c r="N59" i="22" s="1"/>
  <c r="I59" i="22"/>
  <c r="AD59" i="22"/>
  <c r="AC59" i="22"/>
  <c r="S58" i="22"/>
  <c r="T58" i="22"/>
  <c r="S57" i="22"/>
  <c r="T57" i="22"/>
  <c r="T24" i="22"/>
  <c r="S24" i="22"/>
  <c r="T32" i="22"/>
  <c r="S32" i="22"/>
  <c r="AE66" i="22"/>
  <c r="AD66" i="22"/>
  <c r="AC66" i="22"/>
  <c r="AB66" i="22"/>
  <c r="J66" i="22"/>
  <c r="N66" i="22" s="1"/>
  <c r="I66" i="22"/>
  <c r="S22" i="22"/>
  <c r="T22" i="22"/>
  <c r="S23" i="22"/>
  <c r="T23" i="22"/>
  <c r="T123" i="22"/>
  <c r="B41" i="27"/>
  <c r="E69" i="4"/>
  <c r="G69" i="4" s="1"/>
  <c r="E61" i="4"/>
  <c r="G61" i="4" s="1"/>
  <c r="O61" i="4" s="1"/>
  <c r="M61" i="4" s="1"/>
  <c r="P61" i="4" s="1"/>
  <c r="E22" i="4"/>
  <c r="G22" i="4" s="1"/>
  <c r="E68" i="4"/>
  <c r="G68" i="4" s="1"/>
  <c r="O68" i="4" s="1"/>
  <c r="E58" i="4"/>
  <c r="G58" i="4" s="1"/>
  <c r="E104" i="4"/>
  <c r="G104" i="4" s="1"/>
  <c r="O104" i="4" s="1"/>
  <c r="E115" i="4"/>
  <c r="G115" i="4" s="1"/>
  <c r="E64" i="4"/>
  <c r="G64" i="4" s="1"/>
  <c r="E7" i="4"/>
  <c r="G7" i="4" s="1"/>
  <c r="O7" i="4" s="1"/>
  <c r="M7" i="4" s="1"/>
  <c r="P7" i="4" s="1"/>
  <c r="E55" i="4"/>
  <c r="G55" i="4" s="1"/>
  <c r="E52" i="4"/>
  <c r="G52" i="4" s="1"/>
  <c r="O52" i="4" s="1"/>
  <c r="E88" i="4"/>
  <c r="G88" i="4" s="1"/>
  <c r="O88" i="4" s="1"/>
  <c r="E86" i="4"/>
  <c r="G86" i="4" s="1"/>
  <c r="O86" i="4" s="1"/>
  <c r="E24" i="4"/>
  <c r="G24" i="4" s="1"/>
  <c r="E76" i="4"/>
  <c r="G76" i="4" s="1"/>
  <c r="E124" i="4"/>
  <c r="G124" i="4" s="1"/>
  <c r="O124" i="4" s="1"/>
  <c r="M124" i="4" s="1"/>
  <c r="P124" i="4" s="1"/>
  <c r="E123" i="4"/>
  <c r="G123" i="4" s="1"/>
  <c r="E53" i="4"/>
  <c r="G53" i="4" s="1"/>
  <c r="O53" i="4" s="1"/>
  <c r="E23" i="4"/>
  <c r="G23" i="4" s="1"/>
  <c r="E15" i="4"/>
  <c r="G15" i="4" s="1"/>
  <c r="E121" i="4"/>
  <c r="G121" i="4" s="1"/>
  <c r="O121" i="4" s="1"/>
  <c r="E43" i="4"/>
  <c r="G43" i="4" s="1"/>
  <c r="O43" i="4" s="1"/>
  <c r="E84" i="4"/>
  <c r="G84" i="4" s="1"/>
  <c r="O84" i="4" s="1"/>
  <c r="E46" i="4"/>
  <c r="G46" i="4" s="1"/>
  <c r="E77" i="4"/>
  <c r="G77" i="4" s="1"/>
  <c r="E83" i="4"/>
  <c r="G83" i="4" s="1"/>
  <c r="O83" i="4" s="1"/>
  <c r="E128" i="4"/>
  <c r="G128" i="4" s="1"/>
  <c r="O128" i="4" s="1"/>
  <c r="E120" i="4"/>
  <c r="G120" i="4" s="1"/>
  <c r="O120" i="4" s="1"/>
  <c r="E98" i="4"/>
  <c r="G98" i="4" s="1"/>
  <c r="O98" i="4" s="1"/>
  <c r="E117" i="4"/>
  <c r="G117" i="4" s="1"/>
  <c r="E65" i="4"/>
  <c r="G65" i="4" s="1"/>
  <c r="E78" i="4"/>
  <c r="G78" i="4" s="1"/>
  <c r="O78" i="4" s="1"/>
  <c r="M78" i="4" s="1"/>
  <c r="P78" i="4" s="1"/>
  <c r="E26" i="4"/>
  <c r="G26" i="4" s="1"/>
  <c r="E127" i="4"/>
  <c r="G127" i="4" s="1"/>
  <c r="E116" i="4"/>
  <c r="G116" i="4" s="1"/>
  <c r="E34" i="4"/>
  <c r="G34" i="4" s="1"/>
  <c r="O34" i="4" s="1"/>
  <c r="E110" i="4"/>
  <c r="G110" i="4" s="1"/>
  <c r="E33" i="4"/>
  <c r="G33" i="4" s="1"/>
  <c r="O33" i="4" s="1"/>
  <c r="E107" i="4"/>
  <c r="G107" i="4" s="1"/>
  <c r="O107" i="4" s="1"/>
  <c r="M107" i="4" s="1"/>
  <c r="P107" i="4" s="1"/>
  <c r="E56" i="4"/>
  <c r="G56" i="4" s="1"/>
  <c r="O56" i="4" s="1"/>
  <c r="M56" i="4" s="1"/>
  <c r="P56" i="4" s="1"/>
  <c r="M8" i="22"/>
  <c r="E32" i="4"/>
  <c r="G32" i="4" s="1"/>
  <c r="E122" i="4"/>
  <c r="G122" i="4" s="1"/>
  <c r="N82" i="22"/>
  <c r="E119" i="4"/>
  <c r="G119" i="4" s="1"/>
  <c r="O119" i="4" s="1"/>
  <c r="E62" i="4"/>
  <c r="G62" i="4" s="1"/>
  <c r="O62" i="4" s="1"/>
  <c r="M62" i="4" s="1"/>
  <c r="P62" i="4" s="1"/>
  <c r="E44" i="4"/>
  <c r="G44" i="4" s="1"/>
  <c r="O44" i="4" s="1"/>
  <c r="M44" i="4" s="1"/>
  <c r="P44" i="4" s="1"/>
  <c r="M59" i="22"/>
  <c r="E30" i="4"/>
  <c r="G30" i="4" s="1"/>
  <c r="E54" i="4"/>
  <c r="G54" i="4" s="1"/>
  <c r="O54" i="4" s="1"/>
  <c r="E50" i="4"/>
  <c r="G50" i="4" s="1"/>
  <c r="O50" i="4" s="1"/>
  <c r="E27" i="4"/>
  <c r="G27" i="4" s="1"/>
  <c r="E42" i="4"/>
  <c r="G42" i="4" s="1"/>
  <c r="E125" i="4"/>
  <c r="G125" i="4" s="1"/>
  <c r="E51" i="4"/>
  <c r="G51" i="4" s="1"/>
  <c r="E9" i="4"/>
  <c r="G9" i="4" s="1"/>
  <c r="O9" i="4" s="1"/>
  <c r="M71" i="22"/>
  <c r="E87" i="4"/>
  <c r="G87" i="4" s="1"/>
  <c r="O87" i="4" s="1"/>
  <c r="M87" i="4" s="1"/>
  <c r="P87" i="4" s="1"/>
  <c r="E60" i="4"/>
  <c r="G60" i="4" s="1"/>
  <c r="O60" i="4" s="1"/>
  <c r="M60" i="4" s="1"/>
  <c r="P60" i="4" s="1"/>
  <c r="E113" i="4"/>
  <c r="G113" i="4" s="1"/>
  <c r="E63" i="4"/>
  <c r="G63" i="4" s="1"/>
  <c r="O63" i="4" s="1"/>
  <c r="M63" i="4" s="1"/>
  <c r="P63" i="4" s="1"/>
  <c r="E35" i="4"/>
  <c r="G35" i="4" s="1"/>
  <c r="O35" i="4" s="1"/>
  <c r="M35" i="4" s="1"/>
  <c r="P35" i="4" s="1"/>
  <c r="E57" i="4"/>
  <c r="G57" i="4" s="1"/>
  <c r="E45" i="4"/>
  <c r="G45" i="4" s="1"/>
  <c r="C20" i="27"/>
  <c r="C23" i="27" s="1"/>
  <c r="J31" i="4"/>
  <c r="L31" i="4" s="1"/>
  <c r="O31" i="4" s="1"/>
  <c r="J90" i="4"/>
  <c r="L90" i="4" s="1"/>
  <c r="O90" i="4" s="1"/>
  <c r="J41" i="4"/>
  <c r="L41" i="4" s="1"/>
  <c r="O41" i="4" s="1"/>
  <c r="M41" i="4" s="1"/>
  <c r="P41" i="4" s="1"/>
  <c r="J79" i="4"/>
  <c r="L79" i="4" s="1"/>
  <c r="O79" i="4" s="1"/>
  <c r="M79" i="4" s="1"/>
  <c r="P79" i="4" s="1"/>
  <c r="J73" i="4"/>
  <c r="L73" i="4" s="1"/>
  <c r="O73" i="4" s="1"/>
  <c r="J17" i="4"/>
  <c r="L17" i="4" s="1"/>
  <c r="O17" i="4" s="1"/>
  <c r="J20" i="4"/>
  <c r="L20" i="4" s="1"/>
  <c r="O20" i="4" s="1"/>
  <c r="M20" i="4" s="1"/>
  <c r="P20" i="4" s="1"/>
  <c r="J59" i="4"/>
  <c r="L59" i="4" s="1"/>
  <c r="O59" i="4" s="1"/>
  <c r="M59" i="4" s="1"/>
  <c r="P59" i="4" s="1"/>
  <c r="J25" i="4"/>
  <c r="L25" i="4" s="1"/>
  <c r="O25" i="4" s="1"/>
  <c r="J47" i="4"/>
  <c r="L47" i="4" s="1"/>
  <c r="O47" i="4" s="1"/>
  <c r="M47" i="4" s="1"/>
  <c r="P47" i="4" s="1"/>
  <c r="J39" i="4"/>
  <c r="L39" i="4" s="1"/>
  <c r="O39" i="4" s="1"/>
  <c r="M39" i="4" s="1"/>
  <c r="P39" i="4" s="1"/>
  <c r="J10" i="4"/>
  <c r="L10" i="4" s="1"/>
  <c r="O10" i="4" s="1"/>
  <c r="M10" i="4" s="1"/>
  <c r="P10" i="4" s="1"/>
  <c r="J72" i="4"/>
  <c r="L72" i="4" s="1"/>
  <c r="O72" i="4" s="1"/>
  <c r="J48" i="4"/>
  <c r="L48" i="4" s="1"/>
  <c r="O48" i="4" s="1"/>
  <c r="M48" i="4" s="1"/>
  <c r="P48" i="4" s="1"/>
  <c r="J75" i="4"/>
  <c r="L75" i="4" s="1"/>
  <c r="O75" i="4" s="1"/>
  <c r="M75" i="4" s="1"/>
  <c r="P75" i="4" s="1"/>
  <c r="J74" i="4"/>
  <c r="L74" i="4" s="1"/>
  <c r="O74" i="4" s="1"/>
  <c r="J18" i="4"/>
  <c r="L18" i="4" s="1"/>
  <c r="O18" i="4" s="1"/>
  <c r="M18" i="4" s="1"/>
  <c r="P18" i="4" s="1"/>
  <c r="J114" i="4"/>
  <c r="L114" i="4" s="1"/>
  <c r="O114" i="4" s="1"/>
  <c r="J108" i="4"/>
  <c r="L108" i="4" s="1"/>
  <c r="O108" i="4" s="1"/>
  <c r="J49" i="4"/>
  <c r="L49" i="4" s="1"/>
  <c r="O49" i="4" s="1"/>
  <c r="M49" i="4" s="1"/>
  <c r="P49" i="4" s="1"/>
  <c r="N73" i="22"/>
  <c r="B20" i="27"/>
  <c r="M82" i="22"/>
  <c r="M66" i="22"/>
  <c r="J16" i="4"/>
  <c r="L16" i="4" s="1"/>
  <c r="O16" i="4" s="1"/>
  <c r="M16" i="4" s="1"/>
  <c r="P16" i="4" s="1"/>
  <c r="D20" i="27" l="1"/>
  <c r="N62" i="4"/>
  <c r="N107" i="4"/>
  <c r="N78" i="4"/>
  <c r="N124" i="4"/>
  <c r="N35" i="4"/>
  <c r="N61" i="4"/>
  <c r="N44" i="4"/>
  <c r="N7" i="4"/>
  <c r="N60" i="4"/>
  <c r="N63" i="4"/>
  <c r="N56" i="4"/>
  <c r="N87" i="4"/>
  <c r="J122" i="4"/>
  <c r="L122" i="4" s="1"/>
  <c r="O122" i="4" s="1"/>
  <c r="J117" i="4"/>
  <c r="L117" i="4" s="1"/>
  <c r="O117" i="4" s="1"/>
  <c r="J64" i="4"/>
  <c r="L64" i="4" s="1"/>
  <c r="O64" i="4" s="1"/>
  <c r="M64" i="4" s="1"/>
  <c r="P64" i="4" s="1"/>
  <c r="J113" i="4"/>
  <c r="L113" i="4" s="1"/>
  <c r="O113" i="4" s="1"/>
  <c r="J58" i="4"/>
  <c r="L58" i="4" s="1"/>
  <c r="O58" i="4" s="1"/>
  <c r="J46" i="4"/>
  <c r="L46" i="4" s="1"/>
  <c r="O46" i="4" s="1"/>
  <c r="M46" i="4" s="1"/>
  <c r="P46" i="4" s="1"/>
  <c r="J45" i="4"/>
  <c r="L45" i="4" s="1"/>
  <c r="O45" i="4" s="1"/>
  <c r="J125" i="4"/>
  <c r="L125" i="4" s="1"/>
  <c r="O125" i="4" s="1"/>
  <c r="M125" i="4" s="1"/>
  <c r="P125" i="4" s="1"/>
  <c r="J76" i="4"/>
  <c r="L76" i="4" s="1"/>
  <c r="O76" i="4" s="1"/>
  <c r="J22" i="4"/>
  <c r="L22" i="4" s="1"/>
  <c r="O22" i="4" s="1"/>
  <c r="M22" i="4" s="1"/>
  <c r="P22" i="4" s="1"/>
  <c r="J30" i="4"/>
  <c r="L30" i="4" s="1"/>
  <c r="O30" i="4" s="1"/>
  <c r="J65" i="4"/>
  <c r="L65" i="4" s="1"/>
  <c r="O65" i="4" s="1"/>
  <c r="J77" i="4"/>
  <c r="L77" i="4" s="1"/>
  <c r="O77" i="4" s="1"/>
  <c r="M77" i="4" s="1"/>
  <c r="P77" i="4" s="1"/>
  <c r="J55" i="4"/>
  <c r="L55" i="4" s="1"/>
  <c r="O55" i="4" s="1"/>
  <c r="J57" i="4"/>
  <c r="L57" i="4" s="1"/>
  <c r="O57" i="4" s="1"/>
  <c r="J115" i="4"/>
  <c r="L115" i="4" s="1"/>
  <c r="O115" i="4" s="1"/>
  <c r="M115" i="4" s="1"/>
  <c r="P115" i="4" s="1"/>
  <c r="J110" i="4"/>
  <c r="L110" i="4" s="1"/>
  <c r="O110" i="4" s="1"/>
  <c r="M110" i="4" s="1"/>
  <c r="P110" i="4" s="1"/>
  <c r="J116" i="4"/>
  <c r="L116" i="4" s="1"/>
  <c r="O116" i="4" s="1"/>
  <c r="M116" i="4" s="1"/>
  <c r="P116" i="4" s="1"/>
  <c r="J42" i="4"/>
  <c r="L42" i="4" s="1"/>
  <c r="O42" i="4" s="1"/>
  <c r="M42" i="4" s="1"/>
  <c r="P42" i="4" s="1"/>
  <c r="J69" i="4"/>
  <c r="L69" i="4" s="1"/>
  <c r="O69" i="4" s="1"/>
  <c r="J15" i="4"/>
  <c r="L15" i="4" s="1"/>
  <c r="O15" i="4" s="1"/>
  <c r="J24" i="4"/>
  <c r="L24" i="4" s="1"/>
  <c r="O24" i="4" s="1"/>
  <c r="M24" i="4" s="1"/>
  <c r="P24" i="4" s="1"/>
  <c r="J23" i="4"/>
  <c r="L23" i="4" s="1"/>
  <c r="O23" i="4" s="1"/>
  <c r="M23" i="4" s="1"/>
  <c r="P23" i="4" s="1"/>
  <c r="J32" i="4"/>
  <c r="L32" i="4" s="1"/>
  <c r="O32" i="4" s="1"/>
  <c r="M32" i="4" s="1"/>
  <c r="P32" i="4" s="1"/>
  <c r="J51" i="4"/>
  <c r="L51" i="4" s="1"/>
  <c r="O51" i="4" s="1"/>
  <c r="J26" i="4"/>
  <c r="L26" i="4" s="1"/>
  <c r="O26" i="4" s="1"/>
  <c r="M26" i="4" s="1"/>
  <c r="P26" i="4" s="1"/>
  <c r="N10" i="4"/>
  <c r="N59" i="4"/>
  <c r="N48" i="4"/>
  <c r="N16" i="4"/>
  <c r="N41" i="4"/>
  <c r="N79" i="4"/>
  <c r="N49" i="4"/>
  <c r="B23" i="27"/>
  <c r="N47" i="4"/>
  <c r="N20" i="4"/>
  <c r="N18" i="4"/>
  <c r="N75" i="4"/>
  <c r="J27" i="4"/>
  <c r="L27" i="4" s="1"/>
  <c r="O27" i="4" s="1"/>
  <c r="M27" i="4" s="1"/>
  <c r="P27" i="4" s="1"/>
  <c r="J127" i="4"/>
  <c r="L127" i="4" s="1"/>
  <c r="O127" i="4" s="1"/>
  <c r="B45" i="27"/>
  <c r="N39" i="4" l="1"/>
  <c r="N24" i="4"/>
  <c r="N22" i="4"/>
  <c r="J123" i="4"/>
  <c r="L123" i="4" s="1"/>
  <c r="O123" i="4" s="1"/>
  <c r="D23" i="27"/>
  <c r="N64" i="4"/>
  <c r="N42" i="4"/>
  <c r="N27" i="4"/>
  <c r="N77" i="4"/>
  <c r="N32" i="4" l="1"/>
  <c r="N23" i="4"/>
  <c r="N46" i="4"/>
  <c r="N110" i="4"/>
  <c r="N116" i="4"/>
  <c r="N125" i="4"/>
  <c r="N115" i="4"/>
  <c r="N26" i="4"/>
  <c r="O91" i="18" l="1"/>
  <c r="R91" i="18" s="1"/>
  <c r="W91" i="18" l="1"/>
  <c r="T91" i="18"/>
  <c r="S91" i="18"/>
  <c r="U91" i="18"/>
  <c r="O93" i="18"/>
  <c r="N93" i="18" s="1"/>
  <c r="R93" i="18" s="1"/>
  <c r="O94" i="18"/>
  <c r="N94" i="18" s="1"/>
  <c r="R94" i="18" s="1"/>
  <c r="O95" i="18"/>
  <c r="N95" i="18" s="1"/>
  <c r="R95" i="18" s="1"/>
  <c r="O96" i="18"/>
  <c r="N96" i="18" s="1"/>
  <c r="R96" i="18" s="1"/>
  <c r="O97" i="18"/>
  <c r="N97" i="18" s="1"/>
  <c r="R97" i="18" s="1"/>
  <c r="W97" i="18" l="1"/>
  <c r="T97" i="18"/>
  <c r="S97" i="18"/>
  <c r="U97" i="18"/>
  <c r="T96" i="18"/>
  <c r="U96" i="18"/>
  <c r="S96" i="18"/>
  <c r="W96" i="18"/>
  <c r="S94" i="18"/>
  <c r="U94" i="18"/>
  <c r="T94" i="18"/>
  <c r="W94" i="18"/>
  <c r="W93" i="18"/>
  <c r="U93" i="18"/>
  <c r="T93" i="18"/>
  <c r="S93" i="18"/>
  <c r="W95" i="18"/>
  <c r="U95" i="18"/>
  <c r="T95" i="18"/>
  <c r="S95" i="18"/>
  <c r="O129" i="18"/>
  <c r="N129" i="18" s="1"/>
  <c r="O128" i="18"/>
  <c r="O127" i="18"/>
  <c r="O126" i="18"/>
  <c r="N126" i="18" s="1"/>
  <c r="O125" i="18"/>
  <c r="O124" i="18"/>
  <c r="O123" i="18"/>
  <c r="O122" i="18"/>
  <c r="O121" i="18"/>
  <c r="O120" i="18"/>
  <c r="O119" i="18"/>
  <c r="O118" i="18"/>
  <c r="N118" i="18" s="1"/>
  <c r="O117" i="18"/>
  <c r="O116" i="18"/>
  <c r="O115" i="18"/>
  <c r="O114" i="18"/>
  <c r="O113" i="18"/>
  <c r="O112" i="18"/>
  <c r="N112" i="18" s="1"/>
  <c r="O111" i="18"/>
  <c r="N111" i="18" s="1"/>
  <c r="O110" i="18"/>
  <c r="O109" i="18"/>
  <c r="O108" i="18"/>
  <c r="O107" i="18"/>
  <c r="O106" i="18"/>
  <c r="O105" i="18"/>
  <c r="O104" i="18"/>
  <c r="O103" i="18"/>
  <c r="N103" i="18" s="1"/>
  <c r="O102" i="18"/>
  <c r="O101" i="18"/>
  <c r="O100" i="18"/>
  <c r="O99" i="18"/>
  <c r="N99" i="18" s="1"/>
  <c r="R99" i="18" s="1"/>
  <c r="O98" i="18"/>
  <c r="N98" i="18" s="1"/>
  <c r="O90" i="18"/>
  <c r="O89" i="18"/>
  <c r="N89" i="18" s="1"/>
  <c r="O88" i="18"/>
  <c r="O87" i="18"/>
  <c r="O86" i="18"/>
  <c r="O85" i="18"/>
  <c r="N85" i="18" s="1"/>
  <c r="O84" i="18"/>
  <c r="O83" i="18"/>
  <c r="O82" i="18"/>
  <c r="O81" i="18"/>
  <c r="N81" i="18" s="1"/>
  <c r="O80" i="18"/>
  <c r="N80" i="18" s="1"/>
  <c r="O79" i="18"/>
  <c r="O78" i="18"/>
  <c r="O77" i="18"/>
  <c r="O76" i="18"/>
  <c r="O75" i="18"/>
  <c r="O74" i="18"/>
  <c r="O73" i="18"/>
  <c r="O72" i="18"/>
  <c r="O71" i="18"/>
  <c r="O70" i="18"/>
  <c r="O69" i="18"/>
  <c r="O68" i="18"/>
  <c r="O67" i="18"/>
  <c r="O66" i="18"/>
  <c r="O65" i="18"/>
  <c r="O64" i="18"/>
  <c r="O63" i="18"/>
  <c r="O62" i="18"/>
  <c r="O61" i="18"/>
  <c r="O60" i="18"/>
  <c r="O59" i="18"/>
  <c r="O58" i="18"/>
  <c r="O57" i="18"/>
  <c r="O56" i="18"/>
  <c r="O55" i="18"/>
  <c r="O54" i="18"/>
  <c r="O53" i="18"/>
  <c r="O52" i="18"/>
  <c r="O51" i="18"/>
  <c r="O50" i="18"/>
  <c r="O49" i="18"/>
  <c r="O48" i="18"/>
  <c r="O47" i="18"/>
  <c r="O46" i="18"/>
  <c r="O45" i="18"/>
  <c r="O44" i="18"/>
  <c r="O43" i="18"/>
  <c r="O42" i="18"/>
  <c r="O41" i="18"/>
  <c r="O39" i="18"/>
  <c r="O38" i="18"/>
  <c r="N38" i="18" s="1"/>
  <c r="O37" i="18"/>
  <c r="N37" i="18" s="1"/>
  <c r="O36" i="18"/>
  <c r="N36" i="18" s="1"/>
  <c r="R36" i="18" s="1"/>
  <c r="O35" i="18"/>
  <c r="O34" i="18"/>
  <c r="O33" i="18"/>
  <c r="O32" i="18"/>
  <c r="O31" i="18"/>
  <c r="O30" i="18"/>
  <c r="O29" i="18"/>
  <c r="N29" i="18" s="1"/>
  <c r="O28" i="18"/>
  <c r="O27" i="18"/>
  <c r="O26" i="18"/>
  <c r="O25" i="18"/>
  <c r="O24" i="18"/>
  <c r="O23" i="18"/>
  <c r="O22" i="18"/>
  <c r="O21" i="18"/>
  <c r="N21" i="18" s="1"/>
  <c r="O20" i="18"/>
  <c r="O19" i="18"/>
  <c r="O18" i="18"/>
  <c r="O17" i="18"/>
  <c r="O16" i="18"/>
  <c r="O15" i="18"/>
  <c r="O14" i="18"/>
  <c r="N14" i="18" s="1"/>
  <c r="O13" i="18"/>
  <c r="N13" i="18" s="1"/>
  <c r="O12" i="18"/>
  <c r="N12" i="18" s="1"/>
  <c r="O11" i="18"/>
  <c r="O10" i="18"/>
  <c r="O9" i="18"/>
  <c r="O8" i="18"/>
  <c r="O7" i="18"/>
  <c r="U99" i="18" l="1"/>
  <c r="T99" i="18"/>
  <c r="S99" i="18"/>
  <c r="U36" i="18"/>
  <c r="W36" i="18"/>
  <c r="T36" i="18"/>
  <c r="S36" i="18"/>
  <c r="N62" i="18" l="1"/>
  <c r="N63" i="18"/>
  <c r="N54" i="18"/>
  <c r="N51" i="18"/>
  <c r="N55" i="18"/>
  <c r="N61" i="18"/>
  <c r="N18" i="18"/>
  <c r="N52" i="18"/>
  <c r="N17" i="18"/>
  <c r="N87" i="18"/>
  <c r="N77" i="18"/>
  <c r="N9" i="18"/>
  <c r="N39" i="18"/>
  <c r="N45" i="18"/>
  <c r="N35" i="18"/>
  <c r="N28" i="18"/>
  <c r="N31" i="18"/>
  <c r="N110" i="18"/>
  <c r="N70" i="18"/>
  <c r="N125" i="18"/>
  <c r="N42" i="18"/>
  <c r="N44" i="18"/>
  <c r="N90" i="18"/>
  <c r="N121" i="18"/>
  <c r="N71" i="18"/>
  <c r="N116" i="18"/>
  <c r="N124" i="18"/>
  <c r="N24" i="18"/>
  <c r="N56" i="18"/>
  <c r="N83" i="18"/>
  <c r="N19" i="18"/>
  <c r="N88" i="18"/>
  <c r="N120" i="18"/>
  <c r="N23" i="18"/>
  <c r="N60" i="18"/>
  <c r="N74" i="18"/>
  <c r="N67" i="18"/>
  <c r="N34" i="18"/>
  <c r="N27" i="18"/>
  <c r="N33" i="18"/>
  <c r="N102" i="18"/>
  <c r="N128" i="18"/>
  <c r="N106" i="18"/>
  <c r="N104" i="18"/>
  <c r="N78" i="18"/>
  <c r="N11" i="18"/>
  <c r="N46" i="18"/>
  <c r="N107" i="18"/>
  <c r="N26" i="18"/>
  <c r="N113" i="18"/>
  <c r="N84" i="18"/>
  <c r="N123" i="18"/>
  <c r="N105" i="18"/>
  <c r="N68" i="18"/>
  <c r="N43" i="18"/>
  <c r="N49" i="18"/>
  <c r="N16" i="18"/>
  <c r="N65" i="18"/>
  <c r="N76" i="18"/>
  <c r="N119" i="18"/>
  <c r="N114" i="18"/>
  <c r="N73" i="18"/>
  <c r="N7" i="18"/>
  <c r="N25" i="18"/>
  <c r="N50" i="18"/>
  <c r="N115" i="18"/>
  <c r="N79" i="18"/>
  <c r="N101" i="18"/>
  <c r="N30" i="18"/>
  <c r="N122" i="18"/>
  <c r="N108" i="18"/>
  <c r="N8" i="18"/>
  <c r="N41" i="18"/>
  <c r="N15" i="18"/>
  <c r="N82" i="18"/>
  <c r="N127" i="18"/>
  <c r="N100" i="18"/>
  <c r="N10" i="18"/>
  <c r="N57" i="18"/>
  <c r="N22" i="18"/>
  <c r="N53" i="18"/>
  <c r="N20" i="18"/>
  <c r="N86" i="18"/>
  <c r="N117" i="18"/>
  <c r="N109" i="18"/>
  <c r="N32" i="18"/>
  <c r="N75" i="18"/>
  <c r="N66" i="18"/>
  <c r="N72" i="18"/>
  <c r="N64" i="18"/>
  <c r="N58" i="18"/>
  <c r="N47" i="18"/>
  <c r="N69" i="18"/>
  <c r="N59" i="18"/>
  <c r="N48" i="18"/>
  <c r="K129" i="18" l="1"/>
  <c r="L129" i="18" s="1"/>
  <c r="K128" i="18"/>
  <c r="L128" i="18" s="1"/>
  <c r="K127" i="18"/>
  <c r="L127" i="18" s="1"/>
  <c r="K126" i="18"/>
  <c r="L126" i="18" s="1"/>
  <c r="K125" i="18"/>
  <c r="L125" i="18" s="1"/>
  <c r="K124" i="18"/>
  <c r="L124" i="18" s="1"/>
  <c r="K123" i="18"/>
  <c r="L123" i="18" s="1"/>
  <c r="K122" i="18"/>
  <c r="L122" i="18" s="1"/>
  <c r="K121" i="18"/>
  <c r="L121" i="18" s="1"/>
  <c r="K120" i="18"/>
  <c r="L120" i="18" s="1"/>
  <c r="K119" i="18"/>
  <c r="L119" i="18" s="1"/>
  <c r="K118" i="18"/>
  <c r="L118" i="18" s="1"/>
  <c r="K117" i="18"/>
  <c r="L117" i="18" s="1"/>
  <c r="K116" i="18"/>
  <c r="L116" i="18" s="1"/>
  <c r="K115" i="18"/>
  <c r="L115" i="18" s="1"/>
  <c r="K114" i="18"/>
  <c r="L114" i="18" s="1"/>
  <c r="K113" i="18"/>
  <c r="L113" i="18" s="1"/>
  <c r="K112" i="18"/>
  <c r="L112" i="18" s="1"/>
  <c r="K111" i="18"/>
  <c r="L111" i="18" s="1"/>
  <c r="K110" i="18"/>
  <c r="L110" i="18" s="1"/>
  <c r="K109" i="18"/>
  <c r="L109" i="18" s="1"/>
  <c r="K108" i="18"/>
  <c r="L108" i="18" s="1"/>
  <c r="K107" i="18"/>
  <c r="L107" i="18" s="1"/>
  <c r="K106" i="18"/>
  <c r="L106" i="18" s="1"/>
  <c r="K105" i="18"/>
  <c r="L105" i="18" s="1"/>
  <c r="K104" i="18"/>
  <c r="L104" i="18" s="1"/>
  <c r="K103" i="18"/>
  <c r="L103" i="18" s="1"/>
  <c r="K102" i="18"/>
  <c r="L102" i="18" s="1"/>
  <c r="K101" i="18"/>
  <c r="L101" i="18" s="1"/>
  <c r="K100" i="18"/>
  <c r="L100" i="18" s="1"/>
  <c r="K99" i="18"/>
  <c r="K98" i="18"/>
  <c r="L98" i="18" s="1"/>
  <c r="K90" i="18"/>
  <c r="L90" i="18" s="1"/>
  <c r="K89" i="18"/>
  <c r="L89" i="18" s="1"/>
  <c r="K88" i="18"/>
  <c r="L88" i="18" s="1"/>
  <c r="K87" i="18"/>
  <c r="L87" i="18" s="1"/>
  <c r="K86" i="18"/>
  <c r="L86" i="18" s="1"/>
  <c r="K85" i="18"/>
  <c r="L85" i="18" s="1"/>
  <c r="K84" i="18"/>
  <c r="L84" i="18" s="1"/>
  <c r="K83" i="18"/>
  <c r="L83" i="18" s="1"/>
  <c r="K82" i="18"/>
  <c r="L82" i="18" s="1"/>
  <c r="K81" i="18"/>
  <c r="L81" i="18" s="1"/>
  <c r="K80" i="18"/>
  <c r="L80" i="18" s="1"/>
  <c r="K79" i="18"/>
  <c r="L79" i="18" s="1"/>
  <c r="K78" i="18"/>
  <c r="L78" i="18" s="1"/>
  <c r="K77" i="18"/>
  <c r="L77" i="18" s="1"/>
  <c r="K76" i="18"/>
  <c r="L76" i="18" s="1"/>
  <c r="K75" i="18"/>
  <c r="L75" i="18" s="1"/>
  <c r="K74" i="18"/>
  <c r="L74" i="18" s="1"/>
  <c r="K73" i="18"/>
  <c r="L73" i="18" s="1"/>
  <c r="K72" i="18"/>
  <c r="L72" i="18" s="1"/>
  <c r="K71" i="18"/>
  <c r="L71" i="18" s="1"/>
  <c r="K70" i="18"/>
  <c r="L70" i="18" s="1"/>
  <c r="K69" i="18"/>
  <c r="L69" i="18" s="1"/>
  <c r="K68" i="18"/>
  <c r="L68" i="18" s="1"/>
  <c r="K67" i="18"/>
  <c r="L67" i="18" s="1"/>
  <c r="K66" i="18"/>
  <c r="L66" i="18" s="1"/>
  <c r="K65" i="18"/>
  <c r="L65" i="18" s="1"/>
  <c r="K64" i="18"/>
  <c r="L64" i="18" s="1"/>
  <c r="K63" i="18"/>
  <c r="L63" i="18" s="1"/>
  <c r="K62" i="18"/>
  <c r="L62" i="18" s="1"/>
  <c r="K61" i="18"/>
  <c r="L61" i="18" s="1"/>
  <c r="K60" i="18"/>
  <c r="L60" i="18" s="1"/>
  <c r="K59" i="18"/>
  <c r="L59" i="18" s="1"/>
  <c r="K58" i="18"/>
  <c r="L58" i="18" s="1"/>
  <c r="K57" i="18"/>
  <c r="L57" i="18" s="1"/>
  <c r="K56" i="18"/>
  <c r="L56" i="18" s="1"/>
  <c r="K55" i="18"/>
  <c r="L55" i="18" s="1"/>
  <c r="K54" i="18"/>
  <c r="L54" i="18" s="1"/>
  <c r="K53" i="18"/>
  <c r="L53" i="18" s="1"/>
  <c r="K52" i="18"/>
  <c r="L52" i="18" s="1"/>
  <c r="K51" i="18"/>
  <c r="L51" i="18" s="1"/>
  <c r="K50" i="18"/>
  <c r="L50" i="18" s="1"/>
  <c r="K49" i="18"/>
  <c r="L49" i="18" s="1"/>
  <c r="K48" i="18"/>
  <c r="L48" i="18" s="1"/>
  <c r="K47" i="18"/>
  <c r="L47" i="18" s="1"/>
  <c r="K46" i="18"/>
  <c r="L46" i="18" s="1"/>
  <c r="K45" i="18"/>
  <c r="L45" i="18" s="1"/>
  <c r="K44" i="18"/>
  <c r="L44" i="18" s="1"/>
  <c r="K43" i="18"/>
  <c r="L43" i="18" s="1"/>
  <c r="K42" i="18"/>
  <c r="L42" i="18" s="1"/>
  <c r="K41" i="18"/>
  <c r="L41" i="18" s="1"/>
  <c r="K40" i="18"/>
  <c r="L40" i="18" s="1"/>
  <c r="K39" i="18"/>
  <c r="L39" i="18" s="1"/>
  <c r="K38" i="18"/>
  <c r="L38" i="18" s="1"/>
  <c r="K37" i="18"/>
  <c r="L37" i="18" s="1"/>
  <c r="K36" i="18"/>
  <c r="K35" i="18"/>
  <c r="L35" i="18" s="1"/>
  <c r="K34" i="18"/>
  <c r="L34" i="18" s="1"/>
  <c r="K33" i="18"/>
  <c r="L33" i="18" s="1"/>
  <c r="K32" i="18"/>
  <c r="L32" i="18" s="1"/>
  <c r="K31" i="18"/>
  <c r="L31" i="18" s="1"/>
  <c r="K30" i="18"/>
  <c r="L30" i="18" s="1"/>
  <c r="K29" i="18"/>
  <c r="L29" i="18" s="1"/>
  <c r="K28" i="18"/>
  <c r="L28" i="18" s="1"/>
  <c r="K27" i="18"/>
  <c r="L27" i="18" s="1"/>
  <c r="K26" i="18"/>
  <c r="L26" i="18" s="1"/>
  <c r="K25" i="18"/>
  <c r="L25" i="18" s="1"/>
  <c r="K24" i="18"/>
  <c r="L24" i="18" s="1"/>
  <c r="K23" i="18"/>
  <c r="L23" i="18" s="1"/>
  <c r="K22" i="18"/>
  <c r="L22" i="18" s="1"/>
  <c r="K21" i="18"/>
  <c r="L21" i="18" s="1"/>
  <c r="K20" i="18"/>
  <c r="L20" i="18" s="1"/>
  <c r="K19" i="18"/>
  <c r="L19" i="18" s="1"/>
  <c r="K18" i="18"/>
  <c r="L18" i="18" s="1"/>
  <c r="K17" i="18"/>
  <c r="L17" i="18" s="1"/>
  <c r="K16" i="18"/>
  <c r="L16" i="18" s="1"/>
  <c r="K15" i="18"/>
  <c r="L15" i="18" s="1"/>
  <c r="K14" i="18"/>
  <c r="L14" i="18" s="1"/>
  <c r="K13" i="18"/>
  <c r="L13" i="18" s="1"/>
  <c r="K12" i="18"/>
  <c r="L12" i="18" s="1"/>
  <c r="K11" i="18"/>
  <c r="L11" i="18" s="1"/>
  <c r="K10" i="18"/>
  <c r="L10" i="18" s="1"/>
  <c r="K9" i="18"/>
  <c r="L9" i="18" s="1"/>
  <c r="K8" i="18"/>
  <c r="L8" i="18" s="1"/>
  <c r="K7" i="18"/>
  <c r="L7" i="18" s="1"/>
  <c r="M11" i="18" l="1"/>
  <c r="R11" i="18"/>
  <c r="M19" i="18"/>
  <c r="R19" i="18"/>
  <c r="M27" i="18"/>
  <c r="R27" i="18"/>
  <c r="M35" i="18"/>
  <c r="R35" i="18"/>
  <c r="M43" i="18"/>
  <c r="R43" i="18"/>
  <c r="M51" i="18"/>
  <c r="R51" i="18"/>
  <c r="M59" i="18"/>
  <c r="R59" i="18"/>
  <c r="M67" i="18"/>
  <c r="R67" i="18"/>
  <c r="M75" i="18"/>
  <c r="R75" i="18"/>
  <c r="M83" i="18"/>
  <c r="R83" i="18"/>
  <c r="M98" i="18"/>
  <c r="R98" i="18"/>
  <c r="M106" i="18"/>
  <c r="R106" i="18"/>
  <c r="M114" i="18"/>
  <c r="R114" i="18"/>
  <c r="M122" i="18"/>
  <c r="R122" i="18"/>
  <c r="M12" i="18"/>
  <c r="R12" i="18"/>
  <c r="M20" i="18"/>
  <c r="R20" i="18"/>
  <c r="M28" i="18"/>
  <c r="R28" i="18"/>
  <c r="M44" i="18"/>
  <c r="R44" i="18"/>
  <c r="M52" i="18"/>
  <c r="R52" i="18"/>
  <c r="M60" i="18"/>
  <c r="R60" i="18"/>
  <c r="M68" i="18"/>
  <c r="R68" i="18"/>
  <c r="M76" i="18"/>
  <c r="R76" i="18"/>
  <c r="M84" i="18"/>
  <c r="R84" i="18"/>
  <c r="M107" i="18"/>
  <c r="R107" i="18"/>
  <c r="M115" i="18"/>
  <c r="R115" i="18"/>
  <c r="M123" i="18"/>
  <c r="R123" i="18"/>
  <c r="M13" i="18"/>
  <c r="R13" i="18"/>
  <c r="M21" i="18"/>
  <c r="R21" i="18"/>
  <c r="M29" i="18"/>
  <c r="R29" i="18"/>
  <c r="M37" i="18"/>
  <c r="R37" i="18"/>
  <c r="M45" i="18"/>
  <c r="R45" i="18"/>
  <c r="M53" i="18"/>
  <c r="R53" i="18"/>
  <c r="M61" i="18"/>
  <c r="R61" i="18"/>
  <c r="M69" i="18"/>
  <c r="R69" i="18"/>
  <c r="M77" i="18"/>
  <c r="R77" i="18"/>
  <c r="M85" i="18"/>
  <c r="R85" i="18"/>
  <c r="M100" i="18"/>
  <c r="R100" i="18"/>
  <c r="M108" i="18"/>
  <c r="R108" i="18"/>
  <c r="M116" i="18"/>
  <c r="R116" i="18"/>
  <c r="M124" i="18"/>
  <c r="R124" i="18"/>
  <c r="M14" i="18"/>
  <c r="R14" i="18"/>
  <c r="M22" i="18"/>
  <c r="R22" i="18"/>
  <c r="M30" i="18"/>
  <c r="R30" i="18"/>
  <c r="M38" i="18"/>
  <c r="R38" i="18"/>
  <c r="M46" i="18"/>
  <c r="R46" i="18"/>
  <c r="M54" i="18"/>
  <c r="R54" i="18"/>
  <c r="M62" i="18"/>
  <c r="R62" i="18"/>
  <c r="M70" i="18"/>
  <c r="R70" i="18"/>
  <c r="M78" i="18"/>
  <c r="R78" i="18"/>
  <c r="M86" i="18"/>
  <c r="R86" i="18"/>
  <c r="M101" i="18"/>
  <c r="R101" i="18"/>
  <c r="M109" i="18"/>
  <c r="R109" i="18"/>
  <c r="M117" i="18"/>
  <c r="R117" i="18"/>
  <c r="M125" i="18"/>
  <c r="R125" i="18"/>
  <c r="M7" i="18"/>
  <c r="R7" i="18"/>
  <c r="M15" i="18"/>
  <c r="R15" i="18"/>
  <c r="M23" i="18"/>
  <c r="R23" i="18"/>
  <c r="M31" i="18"/>
  <c r="R31" i="18"/>
  <c r="M39" i="18"/>
  <c r="R39" i="18"/>
  <c r="M47" i="18"/>
  <c r="R47" i="18"/>
  <c r="M55" i="18"/>
  <c r="R55" i="18"/>
  <c r="M63" i="18"/>
  <c r="R63" i="18"/>
  <c r="M71" i="18"/>
  <c r="R71" i="18"/>
  <c r="M79" i="18"/>
  <c r="R79" i="18"/>
  <c r="M87" i="18"/>
  <c r="R87" i="18"/>
  <c r="M102" i="18"/>
  <c r="R102" i="18"/>
  <c r="M110" i="18"/>
  <c r="R110" i="18"/>
  <c r="M118" i="18"/>
  <c r="R118" i="18"/>
  <c r="M126" i="18"/>
  <c r="R126" i="18"/>
  <c r="M8" i="18"/>
  <c r="R8" i="18"/>
  <c r="M16" i="18"/>
  <c r="R16" i="18"/>
  <c r="M24" i="18"/>
  <c r="R24" i="18"/>
  <c r="M32" i="18"/>
  <c r="R32" i="18"/>
  <c r="M40" i="18"/>
  <c r="R40" i="18"/>
  <c r="M48" i="18"/>
  <c r="R48" i="18"/>
  <c r="M56" i="18"/>
  <c r="R56" i="18"/>
  <c r="M64" i="18"/>
  <c r="R64" i="18"/>
  <c r="M72" i="18"/>
  <c r="R72" i="18"/>
  <c r="M80" i="18"/>
  <c r="R80" i="18"/>
  <c r="M88" i="18"/>
  <c r="R88" i="18"/>
  <c r="M103" i="18"/>
  <c r="R103" i="18"/>
  <c r="M111" i="18"/>
  <c r="R111" i="18"/>
  <c r="M119" i="18"/>
  <c r="R119" i="18"/>
  <c r="M127" i="18"/>
  <c r="R127" i="18"/>
  <c r="M9" i="18"/>
  <c r="R9" i="18"/>
  <c r="M17" i="18"/>
  <c r="R17" i="18"/>
  <c r="M25" i="18"/>
  <c r="R25" i="18"/>
  <c r="M33" i="18"/>
  <c r="R33" i="18"/>
  <c r="R41" i="18"/>
  <c r="M41" i="18"/>
  <c r="M49" i="18"/>
  <c r="R49" i="18"/>
  <c r="M57" i="18"/>
  <c r="R57" i="18"/>
  <c r="R65" i="18"/>
  <c r="M65" i="18"/>
  <c r="M73" i="18"/>
  <c r="R73" i="18"/>
  <c r="M81" i="18"/>
  <c r="R81" i="18"/>
  <c r="M89" i="18"/>
  <c r="R89" i="18"/>
  <c r="R104" i="18"/>
  <c r="M104" i="18"/>
  <c r="M112" i="18"/>
  <c r="R112" i="18"/>
  <c r="M120" i="18"/>
  <c r="R120" i="18"/>
  <c r="M128" i="18"/>
  <c r="R128" i="18"/>
  <c r="M10" i="18"/>
  <c r="R10" i="18"/>
  <c r="M18" i="18"/>
  <c r="R18" i="18"/>
  <c r="M26" i="18"/>
  <c r="R26" i="18"/>
  <c r="R34" i="18"/>
  <c r="M34" i="18"/>
  <c r="M42" i="18"/>
  <c r="R42" i="18"/>
  <c r="M50" i="18"/>
  <c r="R50" i="18"/>
  <c r="M58" i="18"/>
  <c r="R58" i="18"/>
  <c r="R66" i="18"/>
  <c r="M66" i="18"/>
  <c r="M74" i="18"/>
  <c r="R74" i="18"/>
  <c r="M82" i="18"/>
  <c r="R82" i="18"/>
  <c r="M90" i="18"/>
  <c r="R90" i="18"/>
  <c r="M105" i="18"/>
  <c r="R105" i="18"/>
  <c r="M113" i="18"/>
  <c r="R113" i="18"/>
  <c r="M121" i="18"/>
  <c r="R121" i="18"/>
  <c r="R129" i="18"/>
  <c r="M129" i="18"/>
  <c r="S113" i="18" l="1"/>
  <c r="T113" i="18" s="1"/>
  <c r="S74" i="18"/>
  <c r="T74" i="18" s="1"/>
  <c r="S42" i="18"/>
  <c r="T42" i="18" s="1"/>
  <c r="S10" i="18"/>
  <c r="T10" i="18" s="1"/>
  <c r="S33" i="18"/>
  <c r="T33" i="18" s="1"/>
  <c r="S127" i="18"/>
  <c r="T127" i="18" s="1"/>
  <c r="S88" i="18"/>
  <c r="T88" i="18" s="1"/>
  <c r="S56" i="18"/>
  <c r="T56" i="18" s="1"/>
  <c r="T24" i="18"/>
  <c r="S24" i="18"/>
  <c r="U118" i="18"/>
  <c r="V118" i="18" s="1"/>
  <c r="T118" i="18"/>
  <c r="S118" i="18"/>
  <c r="W118" i="18"/>
  <c r="S79" i="18"/>
  <c r="T79" i="18" s="1"/>
  <c r="U79" i="18"/>
  <c r="W79" i="18"/>
  <c r="S47" i="18"/>
  <c r="T47" i="18" s="1"/>
  <c r="U47" i="18"/>
  <c r="W47" i="18"/>
  <c r="S15" i="18"/>
  <c r="T15" i="18" s="1"/>
  <c r="S109" i="18"/>
  <c r="T109" i="18" s="1"/>
  <c r="U109" i="18"/>
  <c r="W109" i="18"/>
  <c r="U70" i="18"/>
  <c r="S70" i="18"/>
  <c r="T70" i="18" s="1"/>
  <c r="W70" i="18"/>
  <c r="T38" i="18"/>
  <c r="S38" i="18"/>
  <c r="U38" i="18"/>
  <c r="V38" i="18" s="1"/>
  <c r="W38" i="18"/>
  <c r="S124" i="18"/>
  <c r="T124" i="18" s="1"/>
  <c r="W85" i="18"/>
  <c r="T85" i="18"/>
  <c r="U85" i="18"/>
  <c r="S85" i="18"/>
  <c r="S53" i="18"/>
  <c r="T53" i="18" s="1"/>
  <c r="U21" i="18"/>
  <c r="V21" i="18" s="1"/>
  <c r="S21" i="18"/>
  <c r="W21" i="18"/>
  <c r="T21" i="18"/>
  <c r="S107" i="18"/>
  <c r="T107" i="18" s="1"/>
  <c r="S60" i="18"/>
  <c r="T60" i="18" s="1"/>
  <c r="U20" i="18"/>
  <c r="S20" i="18"/>
  <c r="T20" i="18" s="1"/>
  <c r="W20" i="18"/>
  <c r="U106" i="18"/>
  <c r="W106" i="18"/>
  <c r="S106" i="18"/>
  <c r="T106" i="18" s="1"/>
  <c r="S67" i="18"/>
  <c r="T67" i="18" s="1"/>
  <c r="U67" i="18"/>
  <c r="W67" i="18"/>
  <c r="S35" i="18"/>
  <c r="T35" i="18" s="1"/>
  <c r="S104" i="18"/>
  <c r="T104" i="18" s="1"/>
  <c r="S65" i="18"/>
  <c r="T65" i="18" s="1"/>
  <c r="U105" i="18"/>
  <c r="S105" i="18"/>
  <c r="T105" i="18" s="1"/>
  <c r="S128" i="18"/>
  <c r="T128" i="18" s="1"/>
  <c r="T89" i="18"/>
  <c r="S89" i="18"/>
  <c r="U89" i="18"/>
  <c r="W89" i="18"/>
  <c r="S57" i="18"/>
  <c r="T57" i="18" s="1"/>
  <c r="S25" i="18"/>
  <c r="T25" i="18" s="1"/>
  <c r="U25" i="18"/>
  <c r="W25" i="18" s="1"/>
  <c r="S119" i="18"/>
  <c r="T119" i="18" s="1"/>
  <c r="T80" i="18"/>
  <c r="S80" i="18"/>
  <c r="U80" i="18"/>
  <c r="V80" i="18" s="1"/>
  <c r="W80" i="18"/>
  <c r="S48" i="18"/>
  <c r="T48" i="18" s="1"/>
  <c r="U48" i="18"/>
  <c r="W48" i="18" s="1"/>
  <c r="S16" i="18"/>
  <c r="T16" i="18" s="1"/>
  <c r="U16" i="18"/>
  <c r="W16" i="18" s="1"/>
  <c r="S110" i="18"/>
  <c r="T110" i="18" s="1"/>
  <c r="S71" i="18"/>
  <c r="T71" i="18" s="1"/>
  <c r="U71" i="18"/>
  <c r="W71" i="18" s="1"/>
  <c r="U39" i="18"/>
  <c r="W39" i="18" s="1"/>
  <c r="S39" i="18"/>
  <c r="T39" i="18" s="1"/>
  <c r="S7" i="18"/>
  <c r="T7" i="18" s="1"/>
  <c r="U7" i="18"/>
  <c r="W7" i="18" s="1"/>
  <c r="S101" i="18"/>
  <c r="T101" i="18" s="1"/>
  <c r="U101" i="18"/>
  <c r="S62" i="18"/>
  <c r="T62" i="18"/>
  <c r="S30" i="18"/>
  <c r="T30" i="18" s="1"/>
  <c r="S116" i="18"/>
  <c r="T116" i="18" s="1"/>
  <c r="S77" i="18"/>
  <c r="T77" i="18" s="1"/>
  <c r="S45" i="18"/>
  <c r="T45" i="18" s="1"/>
  <c r="S13" i="18"/>
  <c r="U13" i="18"/>
  <c r="V13" i="18" s="1"/>
  <c r="W13" i="18"/>
  <c r="T13" i="18"/>
  <c r="S84" i="18"/>
  <c r="T84" i="18" s="1"/>
  <c r="S52" i="18"/>
  <c r="T52" i="18" s="1"/>
  <c r="T12" i="18"/>
  <c r="S12" i="18"/>
  <c r="U12" i="18"/>
  <c r="V12" i="18" s="1"/>
  <c r="W12" i="18"/>
  <c r="S98" i="18"/>
  <c r="W98" i="18"/>
  <c r="U98" i="18"/>
  <c r="T98" i="18"/>
  <c r="S59" i="18"/>
  <c r="T59" i="18" s="1"/>
  <c r="S27" i="18"/>
  <c r="T27" i="18" s="1"/>
  <c r="S34" i="18"/>
  <c r="T34" i="18" s="1"/>
  <c r="S66" i="18"/>
  <c r="T66" i="18" s="1"/>
  <c r="U66" i="18"/>
  <c r="W66" i="18" s="1"/>
  <c r="S90" i="18"/>
  <c r="T90" i="18" s="1"/>
  <c r="U90" i="18"/>
  <c r="W90" i="18"/>
  <c r="S58" i="18"/>
  <c r="T58" i="18" s="1"/>
  <c r="S26" i="18"/>
  <c r="T26" i="18" s="1"/>
  <c r="S120" i="18"/>
  <c r="T120" i="18" s="1"/>
  <c r="T81" i="18"/>
  <c r="S81" i="18"/>
  <c r="W81" i="18"/>
  <c r="U81" i="18"/>
  <c r="U49" i="18"/>
  <c r="S49" i="18"/>
  <c r="T49" i="18" s="1"/>
  <c r="W49" i="18"/>
  <c r="U17" i="18"/>
  <c r="S17" i="18"/>
  <c r="T17" i="18" s="1"/>
  <c r="W17" i="18"/>
  <c r="W111" i="18"/>
  <c r="T111" i="18"/>
  <c r="U111" i="18"/>
  <c r="V111" i="18" s="1"/>
  <c r="S111" i="18"/>
  <c r="S72" i="18"/>
  <c r="T72" i="18" s="1"/>
  <c r="W40" i="18"/>
  <c r="T40" i="18"/>
  <c r="S40" i="18"/>
  <c r="U40" i="18"/>
  <c r="V40" i="18" s="1"/>
  <c r="S8" i="18"/>
  <c r="T8" i="18" s="1"/>
  <c r="U102" i="18"/>
  <c r="S102" i="18"/>
  <c r="T102" i="18" s="1"/>
  <c r="S63" i="18"/>
  <c r="T63" i="18" s="1"/>
  <c r="U31" i="18"/>
  <c r="W31" i="18" s="1"/>
  <c r="S31" i="18"/>
  <c r="T31" i="18" s="1"/>
  <c r="S125" i="18"/>
  <c r="T125" i="18" s="1"/>
  <c r="S86" i="18"/>
  <c r="T86" i="18" s="1"/>
  <c r="S54" i="18"/>
  <c r="T54" i="18" s="1"/>
  <c r="S22" i="18"/>
  <c r="T22" i="18" s="1"/>
  <c r="S108" i="18"/>
  <c r="T108" i="18" s="1"/>
  <c r="S69" i="18"/>
  <c r="T69" i="18" s="1"/>
  <c r="U37" i="18"/>
  <c r="V37" i="18" s="1"/>
  <c r="V36" i="18" s="1"/>
  <c r="S37" i="18"/>
  <c r="T37" i="18"/>
  <c r="W37" i="18"/>
  <c r="S123" i="18"/>
  <c r="T123" i="18" s="1"/>
  <c r="S76" i="18"/>
  <c r="T76" i="18" s="1"/>
  <c r="S44" i="18"/>
  <c r="T44" i="18" s="1"/>
  <c r="S122" i="18"/>
  <c r="T122" i="18" s="1"/>
  <c r="S83" i="18"/>
  <c r="T83" i="18" s="1"/>
  <c r="S51" i="18"/>
  <c r="T51" i="18" s="1"/>
  <c r="S19" i="18"/>
  <c r="T19" i="18" s="1"/>
  <c r="U19" i="18"/>
  <c r="W19" i="18"/>
  <c r="T129" i="18"/>
  <c r="S129" i="18"/>
  <c r="U129" i="18"/>
  <c r="V129" i="18" s="1"/>
  <c r="W129" i="18"/>
  <c r="S121" i="18"/>
  <c r="T121" i="18" s="1"/>
  <c r="S82" i="18"/>
  <c r="T82" i="18" s="1"/>
  <c r="U82" i="18"/>
  <c r="W82" i="18"/>
  <c r="S50" i="18"/>
  <c r="T50" i="18" s="1"/>
  <c r="U18" i="18"/>
  <c r="W18" i="18" s="1"/>
  <c r="S18" i="18"/>
  <c r="T18" i="18" s="1"/>
  <c r="W112" i="18"/>
  <c r="T112" i="18"/>
  <c r="S112" i="18"/>
  <c r="U112" i="18"/>
  <c r="V112" i="18" s="1"/>
  <c r="S73" i="18"/>
  <c r="T73" i="18" s="1"/>
  <c r="S9" i="18"/>
  <c r="T9" i="18" s="1"/>
  <c r="U103" i="18"/>
  <c r="T103" i="18"/>
  <c r="S103" i="18"/>
  <c r="W103" i="18"/>
  <c r="S64" i="18"/>
  <c r="T64" i="18" s="1"/>
  <c r="S32" i="18"/>
  <c r="T32" i="18" s="1"/>
  <c r="U126" i="18"/>
  <c r="V126" i="18" s="1"/>
  <c r="W126" i="18"/>
  <c r="T126" i="18"/>
  <c r="S126" i="18"/>
  <c r="S87" i="18"/>
  <c r="T87" i="18" s="1"/>
  <c r="S55" i="18"/>
  <c r="T55" i="18" s="1"/>
  <c r="S23" i="18"/>
  <c r="T23" i="18" s="1"/>
  <c r="S117" i="18"/>
  <c r="T117" i="18" s="1"/>
  <c r="S78" i="18"/>
  <c r="T78" i="18" s="1"/>
  <c r="S46" i="18"/>
  <c r="T46" i="18" s="1"/>
  <c r="U46" i="18"/>
  <c r="W46" i="18"/>
  <c r="T14" i="18"/>
  <c r="W14" i="18"/>
  <c r="S14" i="18"/>
  <c r="U14" i="18"/>
  <c r="V14" i="18" s="1"/>
  <c r="S100" i="18"/>
  <c r="T100" i="18" s="1"/>
  <c r="S61" i="18"/>
  <c r="T61" i="18" s="1"/>
  <c r="W29" i="18"/>
  <c r="T29" i="18"/>
  <c r="U29" i="18"/>
  <c r="V29" i="18" s="1"/>
  <c r="S29" i="18"/>
  <c r="S115" i="18"/>
  <c r="T115" i="18" s="1"/>
  <c r="S68" i="18"/>
  <c r="T68" i="18" s="1"/>
  <c r="S28" i="18"/>
  <c r="T28" i="18" s="1"/>
  <c r="S114" i="18"/>
  <c r="T114" i="18" s="1"/>
  <c r="S75" i="18"/>
  <c r="T75" i="18" s="1"/>
  <c r="S43" i="18"/>
  <c r="T43" i="18" s="1"/>
  <c r="S11" i="18"/>
  <c r="T11" i="18" s="1"/>
  <c r="U11" i="18"/>
  <c r="W11" i="18"/>
  <c r="S41" i="18"/>
  <c r="T41" i="18" s="1"/>
  <c r="U41" i="18"/>
  <c r="W41" i="18"/>
  <c r="U78" i="18" l="1"/>
  <c r="V78" i="18" l="1"/>
  <c r="W78" i="18"/>
  <c r="H93" i="6"/>
  <c r="H94" i="6"/>
  <c r="H95" i="6"/>
  <c r="H96" i="6"/>
  <c r="H97" i="6"/>
  <c r="J97" i="6" l="1"/>
  <c r="I97" i="6"/>
  <c r="J96" i="6"/>
  <c r="I96" i="6"/>
  <c r="J95" i="6"/>
  <c r="I95" i="6"/>
  <c r="J94" i="6"/>
  <c r="I94" i="6"/>
  <c r="J93" i="6"/>
  <c r="I93" i="6"/>
  <c r="H129" i="6" l="1"/>
  <c r="H118" i="6"/>
  <c r="H112" i="6"/>
  <c r="H111" i="6"/>
  <c r="H101" i="6"/>
  <c r="H102" i="6"/>
  <c r="H103" i="6"/>
  <c r="H105" i="6"/>
  <c r="H89" i="6"/>
  <c r="H90" i="6"/>
  <c r="H98" i="6"/>
  <c r="H81" i="6"/>
  <c r="H82" i="6"/>
  <c r="H80" i="6"/>
  <c r="Q78" i="4"/>
  <c r="H67" i="6"/>
  <c r="H40" i="6"/>
  <c r="H31" i="6"/>
  <c r="H29" i="6"/>
  <c r="H25" i="6"/>
  <c r="H21" i="6"/>
  <c r="H17" i="6"/>
  <c r="H14" i="6"/>
  <c r="H12" i="6"/>
  <c r="H13" i="6"/>
  <c r="H9" i="6" l="1"/>
  <c r="U9" i="18"/>
  <c r="Q18" i="4"/>
  <c r="H18" i="6"/>
  <c r="J25" i="6"/>
  <c r="I25" i="6"/>
  <c r="H32" i="6"/>
  <c r="Q32" i="4"/>
  <c r="U32" i="18"/>
  <c r="H42" i="6"/>
  <c r="Q42" i="4"/>
  <c r="U42" i="18"/>
  <c r="H49" i="6"/>
  <c r="Q49" i="4"/>
  <c r="H57" i="6"/>
  <c r="U57" i="18"/>
  <c r="I67" i="6"/>
  <c r="J67" i="6"/>
  <c r="H74" i="6"/>
  <c r="U74" i="18"/>
  <c r="J81" i="6"/>
  <c r="I81" i="6"/>
  <c r="J90" i="6"/>
  <c r="I90" i="6"/>
  <c r="H109" i="6"/>
  <c r="Q109" i="4"/>
  <c r="H115" i="6"/>
  <c r="Q115" i="4"/>
  <c r="U115" i="18"/>
  <c r="H120" i="6"/>
  <c r="U120" i="18"/>
  <c r="H10" i="6"/>
  <c r="Q10" i="4"/>
  <c r="U10" i="18"/>
  <c r="J17" i="6"/>
  <c r="I17" i="6"/>
  <c r="H27" i="6"/>
  <c r="Q27" i="4"/>
  <c r="U27" i="18"/>
  <c r="H35" i="6"/>
  <c r="Q35" i="4"/>
  <c r="U35" i="18"/>
  <c r="H44" i="6"/>
  <c r="Q44" i="4"/>
  <c r="U44" i="18"/>
  <c r="H52" i="6"/>
  <c r="U52" i="18"/>
  <c r="H60" i="6"/>
  <c r="Q60" i="4"/>
  <c r="U60" i="18"/>
  <c r="H66" i="6"/>
  <c r="Q66" i="4"/>
  <c r="H73" i="6"/>
  <c r="U73" i="18"/>
  <c r="H84" i="6"/>
  <c r="U84" i="18"/>
  <c r="I89" i="6"/>
  <c r="J89" i="6"/>
  <c r="H108" i="6"/>
  <c r="U108" i="18"/>
  <c r="H114" i="6"/>
  <c r="U114" i="18"/>
  <c r="H125" i="6"/>
  <c r="Q125" i="4"/>
  <c r="U125" i="18"/>
  <c r="H11" i="6"/>
  <c r="Q11" i="4"/>
  <c r="H20" i="6"/>
  <c r="Q20" i="4"/>
  <c r="H26" i="6"/>
  <c r="Q26" i="4"/>
  <c r="U26" i="18"/>
  <c r="H34" i="6"/>
  <c r="U34" i="18"/>
  <c r="H43" i="6"/>
  <c r="U43" i="18"/>
  <c r="H51" i="6"/>
  <c r="U51" i="18"/>
  <c r="Q59" i="4"/>
  <c r="H59" i="6"/>
  <c r="U59" i="18"/>
  <c r="H69" i="6"/>
  <c r="U69" i="18"/>
  <c r="S78" i="4"/>
  <c r="R78" i="4"/>
  <c r="H83" i="6"/>
  <c r="U83" i="18"/>
  <c r="J105" i="6"/>
  <c r="I105" i="6"/>
  <c r="H107" i="6"/>
  <c r="Q107" i="4"/>
  <c r="U107" i="18"/>
  <c r="H117" i="6"/>
  <c r="U117" i="18"/>
  <c r="Q124" i="4"/>
  <c r="H124" i="6"/>
  <c r="U124" i="18"/>
  <c r="J13" i="6"/>
  <c r="I13" i="6"/>
  <c r="H19" i="6"/>
  <c r="Q19" i="4"/>
  <c r="J29" i="6"/>
  <c r="I29" i="6"/>
  <c r="H37" i="6"/>
  <c r="Q37" i="4"/>
  <c r="S37" i="4" s="1"/>
  <c r="H46" i="6"/>
  <c r="Q46" i="4"/>
  <c r="H54" i="6"/>
  <c r="U54" i="18"/>
  <c r="H62" i="6"/>
  <c r="Q62" i="4"/>
  <c r="U62" i="18"/>
  <c r="H68" i="6"/>
  <c r="U68" i="18"/>
  <c r="H77" i="6"/>
  <c r="Q77" i="4"/>
  <c r="U77" i="18"/>
  <c r="H85" i="6"/>
  <c r="Q85" i="4"/>
  <c r="H104" i="6"/>
  <c r="U104" i="18"/>
  <c r="H106" i="6"/>
  <c r="Q106" i="4"/>
  <c r="H116" i="6"/>
  <c r="Q116" i="4"/>
  <c r="U116" i="18"/>
  <c r="H123" i="6"/>
  <c r="U123" i="18"/>
  <c r="J12" i="6"/>
  <c r="I12" i="6"/>
  <c r="H22" i="6"/>
  <c r="Q22" i="4"/>
  <c r="U22" i="18"/>
  <c r="H28" i="6"/>
  <c r="U28" i="18"/>
  <c r="Q38" i="4"/>
  <c r="S38" i="4" s="1"/>
  <c r="H38" i="6"/>
  <c r="H45" i="6"/>
  <c r="U45" i="18"/>
  <c r="H53" i="6"/>
  <c r="U53" i="18"/>
  <c r="H61" i="6"/>
  <c r="Q61" i="4"/>
  <c r="U61" i="18"/>
  <c r="H72" i="6"/>
  <c r="U72" i="18"/>
  <c r="H76" i="6"/>
  <c r="U76" i="18"/>
  <c r="H88" i="6"/>
  <c r="U88" i="18"/>
  <c r="J103" i="6"/>
  <c r="I103" i="6"/>
  <c r="H110" i="6"/>
  <c r="Q110" i="4"/>
  <c r="S110" i="4" s="1"/>
  <c r="U110" i="18"/>
  <c r="H119" i="6"/>
  <c r="U119" i="18"/>
  <c r="H126" i="6"/>
  <c r="Q126" i="4"/>
  <c r="J14" i="6"/>
  <c r="I14" i="6"/>
  <c r="I21" i="6"/>
  <c r="J21" i="6"/>
  <c r="J31" i="6"/>
  <c r="I31" i="6"/>
  <c r="H39" i="6"/>
  <c r="Q39" i="4"/>
  <c r="H48" i="6"/>
  <c r="Q48" i="4"/>
  <c r="Q56" i="4"/>
  <c r="H56" i="6"/>
  <c r="U56" i="18"/>
  <c r="H64" i="6"/>
  <c r="Q64" i="4"/>
  <c r="U64" i="18"/>
  <c r="Q71" i="4"/>
  <c r="H71" i="6"/>
  <c r="I80" i="6"/>
  <c r="J80" i="6"/>
  <c r="H87" i="6"/>
  <c r="Q87" i="4"/>
  <c r="U87" i="18"/>
  <c r="J102" i="6"/>
  <c r="H99" i="6"/>
  <c r="I102" i="6"/>
  <c r="I99" i="6" s="1"/>
  <c r="I111" i="6"/>
  <c r="J111" i="6"/>
  <c r="J118" i="6"/>
  <c r="I118" i="6"/>
  <c r="J129" i="6"/>
  <c r="I129" i="6"/>
  <c r="Q7" i="4"/>
  <c r="H7" i="6"/>
  <c r="H16" i="6"/>
  <c r="Q16" i="4"/>
  <c r="H24" i="6"/>
  <c r="Q24" i="4"/>
  <c r="U24" i="18"/>
  <c r="H30" i="6"/>
  <c r="U30" i="18"/>
  <c r="J40" i="6"/>
  <c r="I40" i="6"/>
  <c r="H47" i="6"/>
  <c r="Q47" i="4"/>
  <c r="H55" i="6"/>
  <c r="U55" i="18"/>
  <c r="H63" i="6"/>
  <c r="Q63" i="4"/>
  <c r="U63" i="18"/>
  <c r="H70" i="6"/>
  <c r="Q70" i="4"/>
  <c r="H79" i="6"/>
  <c r="Q79" i="4"/>
  <c r="H86" i="6"/>
  <c r="U86" i="18"/>
  <c r="I101" i="6"/>
  <c r="J101" i="6"/>
  <c r="H113" i="6"/>
  <c r="U113" i="18"/>
  <c r="H122" i="6"/>
  <c r="U122" i="18"/>
  <c r="H128" i="6"/>
  <c r="U128" i="18"/>
  <c r="Q8" i="4"/>
  <c r="H8" i="6"/>
  <c r="U8" i="18"/>
  <c r="H15" i="6"/>
  <c r="U15" i="18"/>
  <c r="H23" i="6"/>
  <c r="Q23" i="4"/>
  <c r="U23" i="18"/>
  <c r="H33" i="6"/>
  <c r="U33" i="18"/>
  <c r="H41" i="6"/>
  <c r="Q41" i="4"/>
  <c r="H50" i="6"/>
  <c r="U50" i="18"/>
  <c r="H58" i="6"/>
  <c r="U58" i="18"/>
  <c r="H65" i="6"/>
  <c r="U65" i="18"/>
  <c r="H75" i="6"/>
  <c r="Q75" i="4"/>
  <c r="U75" i="18"/>
  <c r="J82" i="6"/>
  <c r="I82" i="6"/>
  <c r="J98" i="6"/>
  <c r="I98" i="6"/>
  <c r="H100" i="6"/>
  <c r="U100" i="18"/>
  <c r="J112" i="6"/>
  <c r="I112" i="6"/>
  <c r="H121" i="6"/>
  <c r="U121" i="18"/>
  <c r="H127" i="6"/>
  <c r="U127" i="18"/>
  <c r="V127" i="18" l="1"/>
  <c r="W127" i="18"/>
  <c r="J65" i="6"/>
  <c r="I65" i="6"/>
  <c r="J33" i="6"/>
  <c r="I33" i="6"/>
  <c r="S8" i="4"/>
  <c r="R8" i="4"/>
  <c r="R63" i="4"/>
  <c r="S63" i="4"/>
  <c r="V30" i="18"/>
  <c r="W30" i="18"/>
  <c r="S7" i="4"/>
  <c r="R7" i="4"/>
  <c r="S71" i="4"/>
  <c r="R71" i="4"/>
  <c r="J48" i="6"/>
  <c r="I48" i="6"/>
  <c r="V61" i="18"/>
  <c r="W61" i="18"/>
  <c r="V123" i="18"/>
  <c r="W123" i="18"/>
  <c r="J104" i="6"/>
  <c r="I104" i="6"/>
  <c r="V62" i="18"/>
  <c r="W62" i="18"/>
  <c r="J37" i="6"/>
  <c r="I37" i="6"/>
  <c r="H36" i="6"/>
  <c r="J124" i="6"/>
  <c r="I124" i="6"/>
  <c r="J59" i="6"/>
  <c r="I59" i="6"/>
  <c r="V26" i="18"/>
  <c r="W26" i="18"/>
  <c r="S125" i="4"/>
  <c r="R125" i="4"/>
  <c r="V84" i="18"/>
  <c r="W84" i="18"/>
  <c r="J60" i="6"/>
  <c r="I60" i="6"/>
  <c r="J35" i="6"/>
  <c r="I35" i="6"/>
  <c r="J10" i="6"/>
  <c r="I10" i="6"/>
  <c r="V57" i="18"/>
  <c r="W57" i="18"/>
  <c r="S32" i="4"/>
  <c r="R32" i="4"/>
  <c r="V58" i="18"/>
  <c r="W58" i="18"/>
  <c r="S126" i="4"/>
  <c r="R126" i="4"/>
  <c r="S61" i="4"/>
  <c r="R61" i="4"/>
  <c r="V28" i="18"/>
  <c r="W28" i="18"/>
  <c r="J123" i="6"/>
  <c r="I123" i="6"/>
  <c r="S85" i="4"/>
  <c r="R85" i="4"/>
  <c r="S62" i="4"/>
  <c r="R62" i="4"/>
  <c r="S124" i="4"/>
  <c r="R124" i="4"/>
  <c r="V83" i="18"/>
  <c r="W83" i="18"/>
  <c r="S59" i="4"/>
  <c r="R59" i="4"/>
  <c r="S26" i="4"/>
  <c r="R26" i="4"/>
  <c r="J125" i="6"/>
  <c r="I125" i="6"/>
  <c r="J84" i="6"/>
  <c r="I84" i="6"/>
  <c r="V52" i="18"/>
  <c r="W52" i="18"/>
  <c r="V27" i="18"/>
  <c r="W27" i="18"/>
  <c r="V120" i="18"/>
  <c r="W120" i="18"/>
  <c r="J57" i="6"/>
  <c r="I57" i="6"/>
  <c r="I32" i="6"/>
  <c r="J32" i="6"/>
  <c r="V23" i="18"/>
  <c r="W23" i="18"/>
  <c r="V86" i="18"/>
  <c r="W86" i="18"/>
  <c r="J30" i="6"/>
  <c r="I30" i="6"/>
  <c r="V64" i="18"/>
  <c r="W64" i="18"/>
  <c r="S39" i="4"/>
  <c r="R39" i="4"/>
  <c r="V121" i="18"/>
  <c r="W121" i="18"/>
  <c r="J58" i="6"/>
  <c r="I58" i="6"/>
  <c r="S23" i="4"/>
  <c r="R23" i="4"/>
  <c r="J128" i="6"/>
  <c r="I128" i="6"/>
  <c r="J86" i="6"/>
  <c r="I86" i="6"/>
  <c r="V55" i="18"/>
  <c r="W55" i="18"/>
  <c r="V24" i="18"/>
  <c r="W24" i="18"/>
  <c r="V87" i="18"/>
  <c r="W87" i="18"/>
  <c r="S64" i="4"/>
  <c r="R64" i="4"/>
  <c r="I39" i="6"/>
  <c r="J39" i="6"/>
  <c r="J126" i="6"/>
  <c r="I126" i="6"/>
  <c r="V88" i="18"/>
  <c r="W88" i="18"/>
  <c r="J61" i="6"/>
  <c r="I61" i="6"/>
  <c r="J28" i="6"/>
  <c r="I28" i="6"/>
  <c r="V116" i="18"/>
  <c r="W116" i="18"/>
  <c r="J85" i="6"/>
  <c r="I85" i="6"/>
  <c r="J62" i="6"/>
  <c r="I62" i="6"/>
  <c r="V117" i="18"/>
  <c r="W117" i="18"/>
  <c r="J83" i="6"/>
  <c r="I83" i="6"/>
  <c r="V51" i="18"/>
  <c r="W51" i="18"/>
  <c r="J26" i="6"/>
  <c r="I26" i="6"/>
  <c r="V114" i="18"/>
  <c r="W114" i="18"/>
  <c r="V73" i="18"/>
  <c r="W73" i="18"/>
  <c r="J52" i="6"/>
  <c r="I52" i="6"/>
  <c r="S27" i="4"/>
  <c r="R27" i="4"/>
  <c r="J120" i="6"/>
  <c r="I120" i="6"/>
  <c r="R49" i="4"/>
  <c r="S49" i="4"/>
  <c r="J127" i="6"/>
  <c r="I127" i="6"/>
  <c r="V128" i="18"/>
  <c r="W128" i="18"/>
  <c r="J121" i="6"/>
  <c r="I121" i="6"/>
  <c r="V50" i="18"/>
  <c r="W50" i="18"/>
  <c r="J23" i="6"/>
  <c r="I23" i="6"/>
  <c r="V122" i="18"/>
  <c r="W122" i="18"/>
  <c r="S79" i="4"/>
  <c r="R79" i="4"/>
  <c r="J55" i="6"/>
  <c r="I55" i="6"/>
  <c r="S24" i="4"/>
  <c r="R24" i="4"/>
  <c r="S87" i="4"/>
  <c r="R87" i="4"/>
  <c r="J64" i="6"/>
  <c r="I64" i="6"/>
  <c r="V119" i="18"/>
  <c r="W119" i="18"/>
  <c r="J88" i="6"/>
  <c r="I88" i="6"/>
  <c r="V53" i="18"/>
  <c r="W53" i="18"/>
  <c r="V22" i="18"/>
  <c r="W22" i="18"/>
  <c r="S116" i="4"/>
  <c r="R116" i="4"/>
  <c r="V77" i="18"/>
  <c r="W77" i="18"/>
  <c r="V54" i="18"/>
  <c r="W54" i="18"/>
  <c r="S19" i="4"/>
  <c r="R19" i="4"/>
  <c r="J117" i="6"/>
  <c r="I117" i="6"/>
  <c r="J51" i="6"/>
  <c r="I51" i="6"/>
  <c r="S20" i="4"/>
  <c r="R20" i="4"/>
  <c r="J114" i="6"/>
  <c r="I114" i="6"/>
  <c r="J73" i="6"/>
  <c r="I73" i="6"/>
  <c r="V44" i="18"/>
  <c r="W44" i="18"/>
  <c r="J27" i="6"/>
  <c r="I27" i="6"/>
  <c r="V115" i="18"/>
  <c r="W115" i="18"/>
  <c r="I49" i="6"/>
  <c r="J49" i="6"/>
  <c r="J63" i="6"/>
  <c r="I63" i="6"/>
  <c r="V75" i="18"/>
  <c r="W75" i="18"/>
  <c r="J50" i="6"/>
  <c r="I50" i="6"/>
  <c r="V15" i="18"/>
  <c r="W15" i="18"/>
  <c r="J122" i="6"/>
  <c r="I122" i="6"/>
  <c r="J79" i="6"/>
  <c r="I79" i="6"/>
  <c r="S47" i="4"/>
  <c r="R47" i="4"/>
  <c r="J24" i="6"/>
  <c r="I24" i="6"/>
  <c r="J87" i="6"/>
  <c r="I87" i="6"/>
  <c r="V56" i="18"/>
  <c r="W56" i="18"/>
  <c r="J119" i="6"/>
  <c r="I119" i="6"/>
  <c r="V76" i="18"/>
  <c r="W76" i="18"/>
  <c r="J53" i="6"/>
  <c r="I53" i="6"/>
  <c r="R22" i="4"/>
  <c r="S22" i="4"/>
  <c r="J116" i="6"/>
  <c r="I116" i="6"/>
  <c r="S77" i="4"/>
  <c r="R77" i="4"/>
  <c r="J54" i="6"/>
  <c r="I54" i="6"/>
  <c r="J19" i="6"/>
  <c r="I19" i="6"/>
  <c r="V107" i="18"/>
  <c r="W107" i="18"/>
  <c r="V43" i="18"/>
  <c r="W43" i="18"/>
  <c r="J20" i="6"/>
  <c r="I20" i="6"/>
  <c r="V108" i="18"/>
  <c r="W108" i="18"/>
  <c r="S66" i="4"/>
  <c r="R66" i="4"/>
  <c r="S44" i="4"/>
  <c r="R44" i="4"/>
  <c r="R115" i="4"/>
  <c r="S115" i="4"/>
  <c r="V74" i="18"/>
  <c r="W74" i="18"/>
  <c r="V42" i="18"/>
  <c r="W42" i="18"/>
  <c r="J18" i="6"/>
  <c r="I18" i="6"/>
  <c r="S41" i="4"/>
  <c r="R41" i="4"/>
  <c r="V113" i="18"/>
  <c r="W113" i="18"/>
  <c r="S70" i="4"/>
  <c r="R70" i="4"/>
  <c r="J47" i="6"/>
  <c r="I47" i="6"/>
  <c r="S16" i="4"/>
  <c r="R16" i="4"/>
  <c r="J56" i="6"/>
  <c r="I56" i="6"/>
  <c r="V110" i="18"/>
  <c r="W110" i="18"/>
  <c r="J76" i="6"/>
  <c r="I76" i="6"/>
  <c r="V45" i="18"/>
  <c r="W45" i="18"/>
  <c r="J22" i="6"/>
  <c r="I22" i="6"/>
  <c r="S106" i="4"/>
  <c r="R106" i="4"/>
  <c r="J77" i="6"/>
  <c r="I77" i="6"/>
  <c r="S46" i="4"/>
  <c r="R46" i="4"/>
  <c r="S107" i="4"/>
  <c r="R107" i="4"/>
  <c r="V69" i="18"/>
  <c r="W69" i="18"/>
  <c r="J43" i="6"/>
  <c r="I43" i="6"/>
  <c r="S11" i="4"/>
  <c r="R11" i="4"/>
  <c r="I108" i="6"/>
  <c r="J108" i="6"/>
  <c r="J66" i="6"/>
  <c r="I66" i="6"/>
  <c r="I44" i="6"/>
  <c r="J44" i="6"/>
  <c r="J115" i="6"/>
  <c r="I115" i="6"/>
  <c r="J74" i="6"/>
  <c r="I74" i="6"/>
  <c r="S42" i="4"/>
  <c r="R42" i="4"/>
  <c r="R18" i="4"/>
  <c r="S18" i="4"/>
  <c r="V8" i="18"/>
  <c r="W8" i="18"/>
  <c r="J70" i="6"/>
  <c r="I70" i="6"/>
  <c r="J16" i="6"/>
  <c r="I16" i="6"/>
  <c r="S56" i="4"/>
  <c r="R56" i="4"/>
  <c r="V72" i="18"/>
  <c r="W72" i="18"/>
  <c r="J45" i="6"/>
  <c r="I45" i="6"/>
  <c r="J106" i="6"/>
  <c r="I106" i="6"/>
  <c r="V68" i="18"/>
  <c r="W68" i="18"/>
  <c r="I46" i="6"/>
  <c r="J46" i="6"/>
  <c r="J107" i="6"/>
  <c r="I107" i="6"/>
  <c r="J69" i="6"/>
  <c r="I69" i="6"/>
  <c r="V34" i="18"/>
  <c r="W34" i="18"/>
  <c r="J11" i="6"/>
  <c r="I11" i="6"/>
  <c r="V60" i="18"/>
  <c r="W60" i="18"/>
  <c r="V35" i="18"/>
  <c r="W35" i="18"/>
  <c r="V10" i="18"/>
  <c r="W10" i="18"/>
  <c r="S109" i="4"/>
  <c r="R109" i="4"/>
  <c r="J42" i="6"/>
  <c r="I42" i="6"/>
  <c r="V9" i="18"/>
  <c r="W9" i="18"/>
  <c r="S75" i="4"/>
  <c r="R75" i="4"/>
  <c r="J15" i="6"/>
  <c r="I15" i="6"/>
  <c r="J75" i="6"/>
  <c r="I75" i="6"/>
  <c r="J41" i="6"/>
  <c r="I41" i="6"/>
  <c r="J113" i="6"/>
  <c r="I113" i="6"/>
  <c r="J100" i="6"/>
  <c r="I100" i="6"/>
  <c r="V65" i="18"/>
  <c r="W65" i="18"/>
  <c r="V33" i="18"/>
  <c r="W33" i="18"/>
  <c r="J8" i="6"/>
  <c r="I8" i="6"/>
  <c r="V63" i="18"/>
  <c r="W63" i="18"/>
  <c r="J7" i="6"/>
  <c r="I7" i="6"/>
  <c r="J71" i="6"/>
  <c r="I71" i="6"/>
  <c r="S48" i="4"/>
  <c r="R48" i="4"/>
  <c r="J110" i="6"/>
  <c r="I110" i="6"/>
  <c r="J72" i="6"/>
  <c r="I72" i="6"/>
  <c r="J38" i="6"/>
  <c r="I38" i="6"/>
  <c r="V104" i="18"/>
  <c r="W104" i="18"/>
  <c r="J68" i="6"/>
  <c r="I68" i="6"/>
  <c r="V124" i="18"/>
  <c r="W124" i="18"/>
  <c r="V59" i="18"/>
  <c r="W59" i="18"/>
  <c r="J34" i="6"/>
  <c r="I34" i="6"/>
  <c r="V125" i="18"/>
  <c r="W125" i="18"/>
  <c r="S60" i="4"/>
  <c r="R60" i="4"/>
  <c r="S35" i="4"/>
  <c r="R35" i="4"/>
  <c r="S10" i="4"/>
  <c r="R10" i="4"/>
  <c r="J109" i="6"/>
  <c r="I109" i="6"/>
  <c r="V32" i="18"/>
  <c r="W32" i="18"/>
  <c r="J9" i="6"/>
  <c r="I9" i="6"/>
  <c r="I36"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I2" authorId="0" shapeId="0" xr:uid="{00000000-0006-0000-0100-000001000000}">
      <text>
        <r>
          <rPr>
            <sz val="8"/>
            <color indexed="81"/>
            <rFont val="Tahoma"/>
            <family val="2"/>
          </rPr>
          <t>These represent the combined non-mutagenic and mutagenic cancer risk (e.g., TCE), or either mutagenic or nonmutagenic risk when OHM has either of these two.  The cancer risk-based values are based on a 30 year exposure to a receptor aged 0-30.  See the DW Assumptions sheet for more details.</t>
        </r>
      </text>
    </comment>
    <comment ref="M2" authorId="0" shapeId="0" xr:uid="{00000000-0006-0000-0100-000002000000}">
      <text>
        <r>
          <rPr>
            <sz val="8"/>
            <color indexed="81"/>
            <rFont val="Tahoma"/>
            <family val="2"/>
          </rPr>
          <t>In some cases, the published drinking water standard or guideline is HIGHER than calculated risk-based values.  In the interests of regulatory consistency, the calculations give preference to the standard/guideline over the calculated health based values.</t>
        </r>
      </text>
    </comment>
    <comment ref="B5" authorId="0" shapeId="0" xr:uid="{00000000-0006-0000-0100-000003000000}">
      <text>
        <r>
          <rPr>
            <sz val="8"/>
            <color indexed="81"/>
            <rFont val="Tahoma"/>
            <family val="2"/>
          </rPr>
          <t xml:space="preserve">Based on the Massachusetts Drinking Water Standards and Guidelines for Chemicals in Massachusetts Drinking Water (DEP ORS)
</t>
        </r>
      </text>
    </comment>
    <comment ref="C6" authorId="0" shapeId="0" xr:uid="{00000000-0006-0000-0100-000004000000}">
      <text>
        <r>
          <rPr>
            <sz val="8"/>
            <color indexed="81"/>
            <rFont val="Tahoma"/>
            <family val="2"/>
          </rPr>
          <t>See below for explanation of codes</t>
        </r>
        <r>
          <rPr>
            <sz val="9"/>
            <color indexed="81"/>
            <rFont val="Tahoma"/>
            <family val="2"/>
          </rPr>
          <t>.</t>
        </r>
      </text>
    </comment>
    <comment ref="R6" authorId="0" shapeId="0" xr:uid="{AAC8591A-6585-487E-9E14-EEDDB865021A}">
      <text>
        <r>
          <rPr>
            <sz val="8"/>
            <color indexed="81"/>
            <rFont val="Tahoma"/>
            <family val="2"/>
          </rPr>
          <t>Rounded to one significant figure from column Q.  2 significant figures have been retained for standards that are based on MMCLs or ORSGLs that have 2 significant figures.</t>
        </r>
      </text>
    </comment>
    <comment ref="I16" authorId="0" shapeId="0" xr:uid="{00000000-0006-0000-0100-000006000000}">
      <text>
        <r>
          <rPr>
            <sz val="9"/>
            <color indexed="81"/>
            <rFont val="Tahoma"/>
            <family val="2"/>
          </rPr>
          <t>mutagen</t>
        </r>
      </text>
    </comment>
    <comment ref="J16" authorId="0" shapeId="0" xr:uid="{00000000-0006-0000-0100-000007000000}">
      <text>
        <r>
          <rPr>
            <sz val="9"/>
            <color indexed="81"/>
            <rFont val="Tahoma"/>
            <family val="2"/>
          </rPr>
          <t>mutagen</t>
        </r>
      </text>
    </comment>
    <comment ref="K16" authorId="0" shapeId="0" xr:uid="{00000000-0006-0000-0100-000008000000}">
      <text>
        <r>
          <rPr>
            <sz val="9"/>
            <color indexed="81"/>
            <rFont val="Tahoma"/>
            <family val="2"/>
          </rPr>
          <t>mutagen</t>
        </r>
      </text>
    </comment>
    <comment ref="L16" authorId="0" shapeId="0" xr:uid="{00000000-0006-0000-0100-000009000000}">
      <text>
        <r>
          <rPr>
            <b/>
            <sz val="9"/>
            <color indexed="81"/>
            <rFont val="Tahoma"/>
            <family val="2"/>
          </rPr>
          <t>mutagen</t>
        </r>
      </text>
    </comment>
    <comment ref="N16" authorId="0" shapeId="0" xr:uid="{00000000-0006-0000-0100-00000A000000}">
      <text>
        <r>
          <rPr>
            <sz val="9"/>
            <color indexed="81"/>
            <rFont val="Tahoma"/>
            <family val="2"/>
          </rPr>
          <t>mutagenic cancer</t>
        </r>
      </text>
    </comment>
    <comment ref="I17" authorId="0" shapeId="0" xr:uid="{00000000-0006-0000-0100-00000B000000}">
      <text>
        <r>
          <rPr>
            <sz val="9"/>
            <color indexed="81"/>
            <rFont val="Tahoma"/>
            <family val="2"/>
          </rPr>
          <t>mutagen</t>
        </r>
      </text>
    </comment>
    <comment ref="J17" authorId="0" shapeId="0" xr:uid="{00000000-0006-0000-0100-00000C000000}">
      <text>
        <r>
          <rPr>
            <b/>
            <sz val="9"/>
            <color indexed="81"/>
            <rFont val="Tahoma"/>
            <family val="2"/>
          </rPr>
          <t>mutagen</t>
        </r>
      </text>
    </comment>
    <comment ref="K17" authorId="0" shapeId="0" xr:uid="{00000000-0006-0000-0100-00000D000000}">
      <text>
        <r>
          <rPr>
            <b/>
            <sz val="9"/>
            <color indexed="81"/>
            <rFont val="Tahoma"/>
            <family val="2"/>
          </rPr>
          <t>mutagen</t>
        </r>
      </text>
    </comment>
    <comment ref="L17" authorId="0" shapeId="0" xr:uid="{00000000-0006-0000-0100-00000E000000}">
      <text>
        <r>
          <rPr>
            <b/>
            <sz val="9"/>
            <color indexed="81"/>
            <rFont val="Tahoma"/>
            <family val="2"/>
          </rPr>
          <t>mutagen</t>
        </r>
      </text>
    </comment>
    <comment ref="I18" authorId="0" shapeId="0" xr:uid="{00000000-0006-0000-0100-00000F000000}">
      <text>
        <r>
          <rPr>
            <b/>
            <sz val="9"/>
            <color indexed="81"/>
            <rFont val="Tahoma"/>
            <family val="2"/>
          </rPr>
          <t>mutagen</t>
        </r>
      </text>
    </comment>
    <comment ref="J18" authorId="0" shapeId="0" xr:uid="{00000000-0006-0000-0100-000010000000}">
      <text>
        <r>
          <rPr>
            <b/>
            <sz val="9"/>
            <color indexed="81"/>
            <rFont val="Tahoma"/>
            <family val="2"/>
          </rPr>
          <t>mutagen</t>
        </r>
      </text>
    </comment>
    <comment ref="K18" authorId="0" shapeId="0" xr:uid="{00000000-0006-0000-0100-000011000000}">
      <text>
        <r>
          <rPr>
            <b/>
            <sz val="9"/>
            <color indexed="81"/>
            <rFont val="Tahoma"/>
            <family val="2"/>
          </rPr>
          <t>mutagen</t>
        </r>
      </text>
    </comment>
    <comment ref="L18" authorId="0" shapeId="0" xr:uid="{00000000-0006-0000-0100-000012000000}">
      <text>
        <r>
          <rPr>
            <b/>
            <sz val="9"/>
            <color indexed="81"/>
            <rFont val="Tahoma"/>
            <family val="2"/>
          </rPr>
          <t>mutagen</t>
        </r>
      </text>
    </comment>
    <comment ref="N18" authorId="0" shapeId="0" xr:uid="{00000000-0006-0000-0100-000013000000}">
      <text>
        <r>
          <rPr>
            <sz val="9"/>
            <color indexed="81"/>
            <rFont val="Tahoma"/>
            <family val="2"/>
          </rPr>
          <t>mutagenic cancer</t>
        </r>
      </text>
    </comment>
    <comment ref="I20" authorId="0" shapeId="0" xr:uid="{00000000-0006-0000-0100-000014000000}">
      <text>
        <r>
          <rPr>
            <b/>
            <sz val="9"/>
            <color indexed="81"/>
            <rFont val="Tahoma"/>
            <family val="2"/>
          </rPr>
          <t>mutagen</t>
        </r>
      </text>
    </comment>
    <comment ref="J20" authorId="0" shapeId="0" xr:uid="{00000000-0006-0000-0100-000015000000}">
      <text>
        <r>
          <rPr>
            <b/>
            <sz val="9"/>
            <color indexed="81"/>
            <rFont val="Tahoma"/>
            <family val="2"/>
          </rPr>
          <t>mutagen</t>
        </r>
      </text>
    </comment>
    <comment ref="K20" authorId="0" shapeId="0" xr:uid="{00000000-0006-0000-0100-000016000000}">
      <text>
        <r>
          <rPr>
            <b/>
            <sz val="9"/>
            <color indexed="81"/>
            <rFont val="Tahoma"/>
            <family val="2"/>
          </rPr>
          <t>mutagen</t>
        </r>
      </text>
    </comment>
    <comment ref="L20" authorId="0" shapeId="0" xr:uid="{00000000-0006-0000-0100-000017000000}">
      <text>
        <r>
          <rPr>
            <b/>
            <sz val="9"/>
            <color indexed="81"/>
            <rFont val="Tahoma"/>
            <family val="2"/>
          </rPr>
          <t>mutagen</t>
        </r>
      </text>
    </comment>
    <comment ref="N20" authorId="0" shapeId="0" xr:uid="{00000000-0006-0000-0100-000018000000}">
      <text>
        <r>
          <rPr>
            <sz val="9"/>
            <color indexed="81"/>
            <rFont val="Tahoma"/>
            <family val="2"/>
          </rPr>
          <t>mutagenic cancer</t>
        </r>
      </text>
    </comment>
    <comment ref="B26" authorId="0" shapeId="0" xr:uid="{00000000-0006-0000-0100-000019000000}">
      <text>
        <r>
          <rPr>
            <sz val="8"/>
            <color indexed="81"/>
            <rFont val="Tahoma"/>
            <family val="2"/>
          </rPr>
          <t>The MCL for Total Trihalomethanes applies to chlorinated water supplies only, which is generally not applicable at 21E sites.</t>
        </r>
      </text>
    </comment>
    <comment ref="B27" authorId="0" shapeId="0" xr:uid="{00000000-0006-0000-0100-00001A000000}">
      <text>
        <r>
          <rPr>
            <sz val="8"/>
            <color indexed="81"/>
            <rFont val="Tahoma"/>
            <family val="2"/>
          </rPr>
          <t>The MCL for Total Trihalomethanes applies to chlorinated water supplies only, which is generally not applicable at 21E sites.</t>
        </r>
      </text>
    </comment>
    <comment ref="C34" authorId="0" shapeId="0" xr:uid="{00000000-0006-0000-0100-00001B000000}">
      <text>
        <r>
          <rPr>
            <sz val="8"/>
            <color indexed="81"/>
            <rFont val="Tahoma"/>
            <family val="2"/>
          </rPr>
          <t>The MMCL for Total Trihalomethanes is specific to chlorinated water supplies and is not considered applicable to 21E sites.</t>
        </r>
      </text>
    </comment>
    <comment ref="I39" authorId="0" shapeId="0" xr:uid="{00000000-0006-0000-0100-00001C000000}">
      <text>
        <r>
          <rPr>
            <b/>
            <sz val="9"/>
            <color indexed="81"/>
            <rFont val="Tahoma"/>
            <family val="2"/>
          </rPr>
          <t>mutagen</t>
        </r>
        <r>
          <rPr>
            <sz val="9"/>
            <color indexed="81"/>
            <rFont val="Tahoma"/>
            <family val="2"/>
          </rPr>
          <t xml:space="preserve">
</t>
        </r>
      </text>
    </comment>
    <comment ref="J39" authorId="0" shapeId="0" xr:uid="{00000000-0006-0000-0100-00001D000000}">
      <text>
        <r>
          <rPr>
            <b/>
            <sz val="9"/>
            <color indexed="81"/>
            <rFont val="Tahoma"/>
            <family val="2"/>
          </rPr>
          <t>mutagen</t>
        </r>
        <r>
          <rPr>
            <sz val="9"/>
            <color indexed="81"/>
            <rFont val="Tahoma"/>
            <family val="2"/>
          </rPr>
          <t xml:space="preserve">
</t>
        </r>
      </text>
    </comment>
    <comment ref="K39" authorId="0" shapeId="0" xr:uid="{00000000-0006-0000-0100-00001E000000}">
      <text>
        <r>
          <rPr>
            <b/>
            <sz val="9"/>
            <color indexed="81"/>
            <rFont val="Tahoma"/>
            <family val="2"/>
          </rPr>
          <t>mutagen</t>
        </r>
        <r>
          <rPr>
            <sz val="9"/>
            <color indexed="81"/>
            <rFont val="Tahoma"/>
            <family val="2"/>
          </rPr>
          <t xml:space="preserve">
</t>
        </r>
      </text>
    </comment>
    <comment ref="L39" authorId="0" shapeId="0" xr:uid="{00000000-0006-0000-0100-00001F000000}">
      <text>
        <r>
          <rPr>
            <b/>
            <sz val="9"/>
            <color indexed="81"/>
            <rFont val="Tahoma"/>
            <family val="2"/>
          </rPr>
          <t>mutagen</t>
        </r>
      </text>
    </comment>
    <comment ref="N39" authorId="0" shapeId="0" xr:uid="{00000000-0006-0000-0100-000020000000}">
      <text>
        <r>
          <rPr>
            <sz val="9"/>
            <color indexed="81"/>
            <rFont val="Tahoma"/>
            <family val="2"/>
          </rPr>
          <t>mutagenic cancer</t>
        </r>
      </text>
    </comment>
    <comment ref="I41" authorId="0" shapeId="0" xr:uid="{00000000-0006-0000-0100-000021000000}">
      <text>
        <r>
          <rPr>
            <b/>
            <sz val="9"/>
            <color indexed="81"/>
            <rFont val="Tahoma"/>
            <family val="2"/>
          </rPr>
          <t>mutagen</t>
        </r>
        <r>
          <rPr>
            <sz val="9"/>
            <color indexed="81"/>
            <rFont val="Tahoma"/>
            <family val="2"/>
          </rPr>
          <t xml:space="preserve">
</t>
        </r>
      </text>
    </comment>
    <comment ref="J41" authorId="0" shapeId="0" xr:uid="{00000000-0006-0000-0100-000022000000}">
      <text>
        <r>
          <rPr>
            <b/>
            <sz val="9"/>
            <color indexed="81"/>
            <rFont val="Tahoma"/>
            <family val="2"/>
          </rPr>
          <t>mutagen</t>
        </r>
        <r>
          <rPr>
            <sz val="9"/>
            <color indexed="81"/>
            <rFont val="Tahoma"/>
            <family val="2"/>
          </rPr>
          <t xml:space="preserve">
</t>
        </r>
      </text>
    </comment>
    <comment ref="K41" authorId="0" shapeId="0" xr:uid="{00000000-0006-0000-0100-000023000000}">
      <text>
        <r>
          <rPr>
            <b/>
            <sz val="9"/>
            <color indexed="81"/>
            <rFont val="Tahoma"/>
            <family val="2"/>
          </rPr>
          <t>mutagen</t>
        </r>
        <r>
          <rPr>
            <sz val="9"/>
            <color indexed="81"/>
            <rFont val="Tahoma"/>
            <family val="2"/>
          </rPr>
          <t xml:space="preserve">
</t>
        </r>
      </text>
    </comment>
    <comment ref="L41" authorId="0" shapeId="0" xr:uid="{00000000-0006-0000-0100-000024000000}">
      <text>
        <r>
          <rPr>
            <b/>
            <sz val="9"/>
            <color indexed="81"/>
            <rFont val="Tahoma"/>
            <family val="2"/>
          </rPr>
          <t>mutagen</t>
        </r>
        <r>
          <rPr>
            <sz val="9"/>
            <color indexed="81"/>
            <rFont val="Tahoma"/>
            <family val="2"/>
          </rPr>
          <t xml:space="preserve">
</t>
        </r>
      </text>
    </comment>
    <comment ref="N41" authorId="0" shapeId="0" xr:uid="{00000000-0006-0000-0100-000025000000}">
      <text>
        <r>
          <rPr>
            <sz val="9"/>
            <color indexed="81"/>
            <rFont val="Tahoma"/>
            <family val="2"/>
          </rPr>
          <t>mutagenic cancer</t>
        </r>
      </text>
    </comment>
    <comment ref="I55" authorId="0" shapeId="0" xr:uid="{00000000-0006-0000-0100-000026000000}">
      <text>
        <r>
          <rPr>
            <b/>
            <sz val="9"/>
            <color indexed="81"/>
            <rFont val="Tahoma"/>
            <family val="2"/>
          </rPr>
          <t>mutagen</t>
        </r>
        <r>
          <rPr>
            <sz val="9"/>
            <color indexed="81"/>
            <rFont val="Tahoma"/>
            <family val="2"/>
          </rPr>
          <t xml:space="preserve">
</t>
        </r>
      </text>
    </comment>
    <comment ref="J55" authorId="0" shapeId="0" xr:uid="{00000000-0006-0000-0100-000027000000}">
      <text>
        <r>
          <rPr>
            <b/>
            <sz val="9"/>
            <color indexed="81"/>
            <rFont val="Tahoma"/>
            <family val="2"/>
          </rPr>
          <t>mutagen</t>
        </r>
        <r>
          <rPr>
            <sz val="9"/>
            <color indexed="81"/>
            <rFont val="Tahoma"/>
            <family val="2"/>
          </rPr>
          <t xml:space="preserve">
</t>
        </r>
      </text>
    </comment>
    <comment ref="K55" authorId="0" shapeId="0" xr:uid="{00000000-0006-0000-0100-000028000000}">
      <text>
        <r>
          <rPr>
            <b/>
            <sz val="9"/>
            <color indexed="81"/>
            <rFont val="Tahoma"/>
            <family val="2"/>
          </rPr>
          <t>mutagen</t>
        </r>
        <r>
          <rPr>
            <sz val="9"/>
            <color indexed="81"/>
            <rFont val="Tahoma"/>
            <family val="2"/>
          </rPr>
          <t xml:space="preserve">
</t>
        </r>
      </text>
    </comment>
    <comment ref="L55" authorId="0" shapeId="0" xr:uid="{00000000-0006-0000-0100-000029000000}">
      <text>
        <r>
          <rPr>
            <b/>
            <sz val="9"/>
            <color indexed="81"/>
            <rFont val="Tahoma"/>
            <family val="2"/>
          </rPr>
          <t>mutagen</t>
        </r>
      </text>
    </comment>
    <comment ref="A76" authorId="0" shapeId="0" xr:uid="{00000000-0006-0000-0100-00002A000000}">
      <text>
        <r>
          <rPr>
            <sz val="8"/>
            <color indexed="81"/>
            <rFont val="Tahoma"/>
            <family val="2"/>
          </rPr>
          <t>a.k.a. Lindane</t>
        </r>
      </text>
    </comment>
    <comment ref="I79" authorId="0" shapeId="0" xr:uid="{00000000-0006-0000-0100-00002B000000}">
      <text>
        <r>
          <rPr>
            <b/>
            <sz val="9"/>
            <color indexed="81"/>
            <rFont val="Tahoma"/>
            <family val="2"/>
          </rPr>
          <t>mutagen</t>
        </r>
        <r>
          <rPr>
            <sz val="9"/>
            <color indexed="81"/>
            <rFont val="Tahoma"/>
            <family val="2"/>
          </rPr>
          <t xml:space="preserve">
</t>
        </r>
      </text>
    </comment>
    <comment ref="J79" authorId="0" shapeId="0" xr:uid="{00000000-0006-0000-0100-00002C000000}">
      <text>
        <r>
          <rPr>
            <b/>
            <sz val="9"/>
            <color indexed="81"/>
            <rFont val="Tahoma"/>
            <family val="2"/>
          </rPr>
          <t>mutagen</t>
        </r>
        <r>
          <rPr>
            <sz val="9"/>
            <color indexed="81"/>
            <rFont val="Tahoma"/>
            <family val="2"/>
          </rPr>
          <t xml:space="preserve">
</t>
        </r>
      </text>
    </comment>
    <comment ref="K79" authorId="0" shapeId="0" xr:uid="{00000000-0006-0000-0100-00002D000000}">
      <text>
        <r>
          <rPr>
            <b/>
            <sz val="9"/>
            <color indexed="81"/>
            <rFont val="Tahoma"/>
            <family val="2"/>
          </rPr>
          <t>mutagen</t>
        </r>
        <r>
          <rPr>
            <sz val="9"/>
            <color indexed="81"/>
            <rFont val="Tahoma"/>
            <family val="2"/>
          </rPr>
          <t xml:space="preserve">
</t>
        </r>
      </text>
    </comment>
    <comment ref="L79" authorId="0" shapeId="0" xr:uid="{00000000-0006-0000-0100-00002E000000}">
      <text>
        <r>
          <rPr>
            <b/>
            <sz val="9"/>
            <color indexed="81"/>
            <rFont val="Tahoma"/>
            <family val="2"/>
          </rPr>
          <t>mutagen</t>
        </r>
        <r>
          <rPr>
            <sz val="9"/>
            <color indexed="81"/>
            <rFont val="Tahoma"/>
            <family val="2"/>
          </rPr>
          <t xml:space="preserve">
</t>
        </r>
      </text>
    </comment>
    <comment ref="N79" authorId="0" shapeId="0" xr:uid="{00000000-0006-0000-0100-00002F000000}">
      <text>
        <r>
          <rPr>
            <sz val="9"/>
            <color indexed="81"/>
            <rFont val="Tahoma"/>
            <family val="2"/>
          </rPr>
          <t>mutagenic cancer</t>
        </r>
      </text>
    </comment>
    <comment ref="C80" authorId="0" shapeId="0" xr:uid="{00000000-0006-0000-0100-000030000000}">
      <text>
        <r>
          <rPr>
            <sz val="8"/>
            <color indexed="81"/>
            <rFont val="Tahoma"/>
            <family val="2"/>
          </rPr>
          <t>This MMCL is referred to as an "Action Level" in the regulations.</t>
        </r>
      </text>
    </comment>
    <comment ref="R110" authorId="0" shapeId="0" xr:uid="{00000000-0006-0000-0100-000031000000}">
      <text>
        <r>
          <rPr>
            <sz val="8"/>
            <color indexed="81"/>
            <rFont val="Tahoma"/>
            <family val="2"/>
          </rPr>
          <t>Jan 2007 Policy decision made to set at 1 instead of 0.8.</t>
        </r>
      </text>
    </comment>
    <comment ref="C112" authorId="0" shapeId="0" xr:uid="{00000000-0006-0000-0100-000032000000}">
      <text>
        <r>
          <rPr>
            <sz val="8"/>
            <color indexed="81"/>
            <rFont val="Tahoma"/>
            <family val="2"/>
          </rPr>
          <t>This is a Secondary MMCL - there is no primary MMCL.</t>
        </r>
      </text>
    </comment>
    <comment ref="I123" authorId="0" shapeId="0" xr:uid="{00000000-0006-0000-0100-000033000000}">
      <text>
        <r>
          <rPr>
            <sz val="9"/>
            <color indexed="81"/>
            <rFont val="Tahoma"/>
            <family val="2"/>
          </rPr>
          <t>See GW-1 VC &amp; TCE Tab</t>
        </r>
      </text>
    </comment>
    <comment ref="J123" authorId="0" shapeId="0" xr:uid="{00000000-0006-0000-0100-000034000000}">
      <text>
        <r>
          <rPr>
            <sz val="9"/>
            <color indexed="81"/>
            <rFont val="Tahoma"/>
            <family val="2"/>
          </rPr>
          <t>See GW-1 VC &amp; TCE Tab</t>
        </r>
      </text>
    </comment>
    <comment ref="K123" authorId="0" shapeId="0" xr:uid="{00000000-0006-0000-0100-000035000000}">
      <text>
        <r>
          <rPr>
            <sz val="9"/>
            <color indexed="81"/>
            <rFont val="Tahoma"/>
            <family val="2"/>
          </rPr>
          <t>See GW-1 VC &amp; TCE Tab</t>
        </r>
      </text>
    </comment>
    <comment ref="L123" authorId="0" shapeId="0" xr:uid="{00000000-0006-0000-0100-000036000000}">
      <text>
        <r>
          <rPr>
            <sz val="9"/>
            <color indexed="81"/>
            <rFont val="Tahoma"/>
            <family val="2"/>
          </rPr>
          <t>See GW-1 VC &amp; TCE Tab</t>
        </r>
      </text>
    </comment>
    <comment ref="I127" authorId="0" shapeId="0" xr:uid="{00000000-0006-0000-0100-000037000000}">
      <text>
        <r>
          <rPr>
            <sz val="9"/>
            <color indexed="81"/>
            <rFont val="Tahoma"/>
            <family val="2"/>
          </rPr>
          <t xml:space="preserve">See GW-1 VC &amp; TCE Tab
</t>
        </r>
      </text>
    </comment>
    <comment ref="J127" authorId="0" shapeId="0" xr:uid="{00000000-0006-0000-0100-000038000000}">
      <text>
        <r>
          <rPr>
            <sz val="9"/>
            <color indexed="81"/>
            <rFont val="Tahoma"/>
            <family val="2"/>
          </rPr>
          <t>See GW-1 VC &amp; TCE Tab</t>
        </r>
      </text>
    </comment>
    <comment ref="K127" authorId="0" shapeId="0" xr:uid="{00000000-0006-0000-0100-000039000000}">
      <text>
        <r>
          <rPr>
            <sz val="9"/>
            <color indexed="81"/>
            <rFont val="Tahoma"/>
            <family val="2"/>
          </rPr>
          <t>See GW-1 VC &amp; TCE Tab</t>
        </r>
      </text>
    </comment>
    <comment ref="L127" authorId="0" shapeId="0" xr:uid="{00000000-0006-0000-0100-00003A000000}">
      <text>
        <r>
          <rPr>
            <sz val="9"/>
            <color indexed="81"/>
            <rFont val="Tahoma"/>
            <family val="2"/>
          </rPr>
          <t>See GW-1 VC &amp; TCE Tab</t>
        </r>
      </text>
    </comment>
    <comment ref="A128" authorId="0" shapeId="0" xr:uid="{00000000-0006-0000-0100-00003B000000}">
      <text>
        <r>
          <rPr>
            <sz val="8"/>
            <color indexed="81"/>
            <rFont val="Tahoma"/>
            <family val="2"/>
          </rPr>
          <t>DIMETHYLBENZENES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P4" authorId="0" shapeId="0" xr:uid="{00000000-0006-0000-0300-000001000000}">
      <text>
        <r>
          <rPr>
            <sz val="9"/>
            <color indexed="81"/>
            <rFont val="Tahoma"/>
            <family val="2"/>
          </rPr>
          <t>Used in the GW-1 Derm tab for demal risk values used in the GW-1 tab.</t>
        </r>
      </text>
    </comment>
    <comment ref="M6" authorId="0" shapeId="0" xr:uid="{00000000-0006-0000-0300-000002000000}">
      <text>
        <r>
          <rPr>
            <sz val="8"/>
            <color indexed="81"/>
            <rFont val="Tahoma"/>
            <family val="2"/>
          </rPr>
          <t>See Workbook "MCP Toxicity.xls", sheet "BW"</t>
        </r>
      </text>
    </comment>
    <comment ref="N6" authorId="0" shapeId="0" xr:uid="{00000000-0006-0000-0300-000003000000}">
      <text>
        <r>
          <rPr>
            <sz val="8"/>
            <color indexed="81"/>
            <rFont val="Tahoma"/>
            <family val="2"/>
          </rPr>
          <t>Represents 50th%ile entire body surface for both males and females less than 21, females for adults. See MCP Toxicity Skin Surface Area tab.</t>
        </r>
      </text>
    </comment>
    <comment ref="B9" authorId="0" shapeId="0" xr:uid="{00000000-0006-0000-0300-000004000000}">
      <text>
        <r>
          <rPr>
            <sz val="9"/>
            <color indexed="81"/>
            <rFont val="Tahoma"/>
            <family val="2"/>
          </rPr>
          <t>Used in the ingestion risk calculations in the GW-1 tab</t>
        </r>
      </text>
    </comment>
    <comment ref="B11" authorId="0" shapeId="0" xr:uid="{00000000-0006-0000-0300-000005000000}">
      <text>
        <r>
          <rPr>
            <sz val="8"/>
            <color indexed="81"/>
            <rFont val="Tahoma"/>
            <family val="2"/>
          </rPr>
          <t>See Workbook "MCP Toxicity.xls", sheet "BW"</t>
        </r>
      </text>
    </comment>
    <comment ref="U13" authorId="0" shapeId="0" xr:uid="{00000000-0006-0000-0300-000006000000}">
      <text>
        <r>
          <rPr>
            <sz val="8"/>
            <color indexed="81"/>
            <rFont val="Tahoma"/>
            <family val="2"/>
          </rPr>
          <t>95%ile all age 0&lt;7, 35.6 minutes per shower.  From Table 16-28 of EPA EFH (2011). Uses bath time for 0&lt;2.
Weighted average of 0&lt;7 year age groups:
(30+32+44+(3x34)+41)/7 = 35.6 minutes
35.6 minutes/60 minutes/hr = 0.59 hours</t>
        </r>
      </text>
    </comment>
    <comment ref="U18" authorId="0" shapeId="0" xr:uid="{00000000-0006-0000-0300-000007000000}">
      <text>
        <r>
          <rPr>
            <sz val="9"/>
            <color indexed="81"/>
            <rFont val="Tahoma"/>
            <family val="2"/>
          </rPr>
          <t>see comment on U13 above</t>
        </r>
      </text>
    </comment>
    <comment ref="U19" authorId="0" shapeId="0" xr:uid="{00000000-0006-0000-0300-000008000000}">
      <text>
        <r>
          <rPr>
            <sz val="8"/>
            <color indexed="81"/>
            <rFont val="Tahoma"/>
            <family val="2"/>
          </rPr>
          <t>95%ile all age 7&lt;14, 40.5 minutes per shower.  From Table 16-28 of EPA EFH (2011). 
Weighted average of 7&lt;14 year age groups:
(4*41)+(3*40)/7 = 40.5 minutes
40.5 minutes/60 minutes/hr = 0.67 hours</t>
        </r>
      </text>
    </comment>
    <comment ref="U20" authorId="0" shapeId="0" xr:uid="{00000000-0006-0000-0300-000009000000}">
      <text>
        <r>
          <rPr>
            <sz val="8"/>
            <color indexed="81"/>
            <rFont val="Tahoma"/>
            <family val="2"/>
          </rPr>
          <t>95%ile all age 14&lt;30, 52.8 minutes per shower.  From EPA EFH (2011) Table 16-28 for ages 14&lt;21 and Table 16-31 for ages 21&lt;30. 
Weighted average of 14&lt;30 year age groups:
((40*2)+(45*5)+(60*9)/16 = 52.8 minutes
52.8 minutes/60 minutes/hr = 0.88 hours</t>
        </r>
      </text>
    </comment>
    <comment ref="U21" authorId="0" shapeId="0" xr:uid="{00000000-0006-0000-0300-00000A000000}">
      <text>
        <r>
          <rPr>
            <sz val="8"/>
            <color indexed="81"/>
            <rFont val="Tahoma"/>
            <family val="2"/>
          </rPr>
          <t xml:space="preserve">95%ile all age 0&lt;30, 46 minutes per shower.  From EPA EFH (2011) Table 16-28 for 0&lt;21, Table 16-31 for 21&lt;30 . Uses bath time for 0&lt;2.
Weighted average of 0&lt;30 year age groups:
(30+32+44+(3*34)+(5*41)+(5*40)+(5*45)+(9*60)/30 = 45.9 minutes
45.9 minutes/60 minutes/hr = 0.76 hours
</t>
        </r>
      </text>
    </comment>
    <comment ref="U26" authorId="0" shapeId="0" xr:uid="{00000000-0006-0000-0300-00000B000000}">
      <text>
        <r>
          <rPr>
            <sz val="8"/>
            <color indexed="81"/>
            <rFont val="Tahoma"/>
            <family val="2"/>
          </rPr>
          <t>95%ile ages birth to 2, 31 minutes per shower.  From Table 16-28 of EPA EFH (2011). Uses bath time for ages 0&lt;2. Average of the 95%iles divided by 60 minutes/hr. (30+32)/2/60 minutes/hr = 0.52 hours</t>
        </r>
      </text>
    </comment>
    <comment ref="U27" authorId="0" shapeId="0" xr:uid="{00000000-0006-0000-0300-00000C000000}">
      <text>
        <r>
          <rPr>
            <sz val="8"/>
            <color indexed="81"/>
            <rFont val="Tahoma"/>
            <family val="2"/>
          </rPr>
          <t>95%ile ages2&lt;6, 36.5 minutes per shower.  From Table 16-28 of EPA EFH (2011). Average of the 95%iles divided by 60 minutes/hr. 44 minutes + (34 minutes*3)/4/60 minutes/hr = 0.608 hours</t>
        </r>
      </text>
    </comment>
    <comment ref="U28" authorId="0" shapeId="0" xr:uid="{00000000-0006-0000-0300-00000D000000}">
      <text>
        <r>
          <rPr>
            <sz val="8"/>
            <color indexed="81"/>
            <rFont val="Tahoma"/>
            <family val="2"/>
          </rPr>
          <t>95%ile ages 6&lt;16, 40.5 minutes per shower.  From Table 16-28 of EPA EFH (2011). Average of the 95%iles divided by 60 minutes/hr. (41 minutes*5) + (40 minutes*5)/10/60 minutes/hr = 0.675 hours</t>
        </r>
      </text>
    </comment>
    <comment ref="O29" authorId="0" shapeId="0" xr:uid="{00000000-0006-0000-0300-00000E000000}">
      <text>
        <r>
          <rPr>
            <sz val="8"/>
            <color indexed="81"/>
            <rFont val="Tahoma"/>
            <family val="2"/>
          </rPr>
          <t>Default value (EPA 1998)</t>
        </r>
      </text>
    </comment>
    <comment ref="U29" authorId="0" shapeId="0" xr:uid="{00000000-0006-0000-0300-00000F000000}">
      <text>
        <r>
          <rPr>
            <sz val="8"/>
            <color indexed="81"/>
            <rFont val="Tahoma"/>
            <family val="2"/>
          </rPr>
          <t>95%ile all age 16&lt;30, 54.6 minutes per shower.  From EPA EFH (2011) Table 16-28 for ages 14&lt;21 and Table 16-31 for ages 21&lt;30. 
Weighted average of 16-30 year age groups:
((5x45)+(9x60)/14 = 54.6 minutes
54.6 minutes/60 minutes/hr = 0.91 hours</t>
        </r>
      </text>
    </comment>
    <comment ref="K33" authorId="0" shapeId="0" xr:uid="{00000000-0006-0000-0300-000010000000}">
      <text>
        <r>
          <rPr>
            <sz val="9"/>
            <color indexed="81"/>
            <rFont val="Tahoma"/>
            <family val="2"/>
          </rPr>
          <t>Vinyl Chloride 0-2 year exposure uses an averaging period of 2 years, so the calculation references the exposure period cell for the averaging period.</t>
        </r>
      </text>
    </comment>
    <comment ref="B39" authorId="0" shapeId="0" xr:uid="{00000000-0006-0000-0300-000011000000}">
      <text>
        <r>
          <rPr>
            <sz val="9"/>
            <color indexed="81"/>
            <rFont val="Tahoma"/>
            <family val="2"/>
          </rPr>
          <t>Used in the GW-Inhale tab to calculate inhalation risk values for the GW-1 tab.</t>
        </r>
      </text>
    </comment>
    <comment ref="B41" authorId="0" shapeId="0" xr:uid="{00000000-0006-0000-0300-000012000000}">
      <text>
        <r>
          <rPr>
            <sz val="8"/>
            <color indexed="81"/>
            <rFont val="Tahoma"/>
            <family val="2"/>
          </rPr>
          <t>See Workbook "MCP Toxicity.xls", sheet "BW"</t>
        </r>
      </text>
    </comment>
    <comment ref="T48" authorId="0" shapeId="0" xr:uid="{00000000-0006-0000-0300-000013000000}">
      <text>
        <r>
          <rPr>
            <sz val="8"/>
            <color indexed="81"/>
            <rFont val="Tahoma"/>
            <family val="2"/>
          </rPr>
          <t>This factor is equal to the shower duration (Ds) PLUS the number of minutes spent in the shower room immediately after showering.  The latter value is the 95th %tile from the EPA EFH (2011), Table 16-28.
(10+6+12+(3*20))+16)/7 = 12.6 minutes
Dt = 12.6 + Ds</t>
        </r>
      </text>
    </comment>
    <comment ref="T53" authorId="0" shapeId="0" xr:uid="{00000000-0006-0000-0300-000014000000}">
      <text>
        <r>
          <rPr>
            <sz val="8"/>
            <color indexed="81"/>
            <rFont val="Tahoma"/>
            <family val="2"/>
          </rPr>
          <t>This factor is equal to the shower duration (Ds) PLUS the number of minutes spent in the shower room immediately after showering.  The latter value is the 95th %tile from the EPA EFH (2011), Table 16-28.
(10+6+12+(3*20)+16)/7 = 12.6 minutes
Dt = 12.6 + Ds</t>
        </r>
      </text>
    </comment>
    <comment ref="T54" authorId="0" shapeId="0" xr:uid="{00000000-0006-0000-0300-000015000000}">
      <text>
        <r>
          <rPr>
            <sz val="8"/>
            <color indexed="81"/>
            <rFont val="Tahoma"/>
            <family val="2"/>
          </rPr>
          <t>This factor is equal to the shower duration (Ds) PLUS the number of minutes spent in the shower room immediately after showering.  The latter value is the 95th %tile from the EPA EFH (2011), Table 16-28.
(4*16)+(3*30))/7 = 22 minutes
Dt = 22 + Ds</t>
        </r>
      </text>
    </comment>
    <comment ref="T55" authorId="0" shapeId="0" xr:uid="{00000000-0006-0000-0300-000016000000}">
      <text>
        <r>
          <rPr>
            <sz val="8"/>
            <color indexed="81"/>
            <rFont val="Tahoma"/>
            <family val="2"/>
          </rPr>
          <t>This factor is equal to the shower duration (Ds) PLUS the number of minutes spent in the shower room immediately after showering.  The latter value is the 95th %tile from the EPA EFH (2011), Table 16-28.
((2*30)+(14*20))/16 = 21.2 minutes
Dt = 21.2 + Ds</t>
        </r>
      </text>
    </comment>
    <comment ref="T63" authorId="0" shapeId="0" xr:uid="{00000000-0006-0000-0300-000017000000}">
      <text>
        <r>
          <rPr>
            <sz val="8"/>
            <color indexed="81"/>
            <rFont val="Tahoma"/>
            <family val="2"/>
          </rPr>
          <t>This factor is equal to the shower duration (Ds) PLUS the number of minutes spent in the shower room immediately after showering. 95th %tile from the EPA EFH (2011), Table 16-28.
(10+16)/2 = 13 minutes
Dt = 13 + Ds</t>
        </r>
      </text>
    </comment>
    <comment ref="T64" authorId="0" shapeId="0" xr:uid="{00000000-0006-0000-0300-000018000000}">
      <text>
        <r>
          <rPr>
            <sz val="8"/>
            <color indexed="81"/>
            <rFont val="Tahoma"/>
            <family val="2"/>
          </rPr>
          <t>This factor is equal to the shower duration (Ds) PLUS the number of minutes spent in the shower room immediately after showering. 95th %tile from the EPA EFH (2011), Table 16-28.
((1*12)+(3*20))/4 = 18 minutes
Dt = 18 + Ds</t>
        </r>
      </text>
    </comment>
    <comment ref="T65" authorId="0" shapeId="0" xr:uid="{00000000-0006-0000-0300-000019000000}">
      <text>
        <r>
          <rPr>
            <sz val="8"/>
            <color indexed="81"/>
            <rFont val="Tahoma"/>
            <family val="2"/>
          </rPr>
          <t>This factor is equal to the shower duration (Ds) PLUS the number of minutes spent in the shower room immediately after showering. 95th %tile from the EPA EFH (2011), Table 16-28.
((5*16)+(5*30))/10 = 23 minutes
Dt = 23 + Ds</t>
        </r>
      </text>
    </comment>
    <comment ref="T66" authorId="0" shapeId="0" xr:uid="{00000000-0006-0000-0300-00001A000000}">
      <text>
        <r>
          <rPr>
            <sz val="8"/>
            <color indexed="81"/>
            <rFont val="Tahoma"/>
            <family val="2"/>
          </rPr>
          <t>This factor is equal to the shower duration (Ds) PLUS the number of minutes spent in the shower room immediately after showering. The latter value is the 95th %tile from the EPA EFH (2011), Table 16-28.  Uses the 16&lt;21 values for 16&lt;30.
((16*20))/16 = 20 minutes
Dt = 20 + 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400-000001000000}">
      <text>
        <r>
          <rPr>
            <sz val="8"/>
            <color indexed="81"/>
            <rFont val="Tahoma"/>
            <family val="2"/>
          </rPr>
          <t>All data on this spreadsheet are protected to prevent inadvertent changes to this information.
To unprotect the sheet to make changes, use the "Tools" "Protection" commands on the Main menu.</t>
        </r>
      </text>
    </comment>
    <comment ref="D1" authorId="0" shapeId="0" xr:uid="{00000000-0006-0000-0400-000002000000}">
      <text>
        <r>
          <rPr>
            <sz val="8"/>
            <color indexed="81"/>
            <rFont val="Tahoma"/>
            <family val="2"/>
          </rPr>
          <t xml:space="preserve">Calculated using equation A.3 (EPA 1998).  Equation was derived by EPA dermal workgroup.
</t>
        </r>
      </text>
    </comment>
    <comment ref="E1" authorId="0" shapeId="0" xr:uid="{00000000-0006-0000-0400-000003000000}">
      <text>
        <r>
          <rPr>
            <sz val="8"/>
            <color indexed="81"/>
            <rFont val="Tahoma"/>
            <family val="2"/>
          </rPr>
          <t xml:space="preserve">Calculated using either equation A.5 or A.6 (EPA 1998).  Which equation is used depends on how large B is.  B value greater than 0.6 means a lipophilic compound; chemical moves quickly through stratum corneum and limiting layer is viable epidermis.  Low B value (&lt; or = 0.6) means chemical has low permeability in stratum corneum and that layer is controlling.
</t>
        </r>
      </text>
    </comment>
    <comment ref="B2" authorId="0" shapeId="0" xr:uid="{00000000-0006-0000-0400-000004000000}">
      <text>
        <r>
          <rPr>
            <sz val="8"/>
            <color indexed="81"/>
            <rFont val="Tahoma"/>
            <family val="2"/>
          </rPr>
          <t>Calculated using equation A.1 (EPA 1998).  This equation is based on Bunge and Cleek 1995.</t>
        </r>
      </text>
    </comment>
    <comment ref="C2" authorId="0" shapeId="0" xr:uid="{00000000-0006-0000-0400-000005000000}">
      <text>
        <r>
          <rPr>
            <sz val="8"/>
            <color indexed="81"/>
            <rFont val="Tahoma"/>
            <family val="2"/>
          </rPr>
          <t xml:space="preserve">Time after initial contact for chemical to cross stratum corneum. Calculated using equation A.4 and assuming default skin thickness of 0.001 cm (EPA 1998).
</t>
        </r>
      </text>
    </comment>
    <comment ref="F4" authorId="0" shapeId="0" xr:uid="{00000000-0006-0000-0400-000006000000}">
      <text>
        <r>
          <rPr>
            <sz val="8"/>
            <color indexed="81"/>
            <rFont val="Tahoma"/>
            <family val="2"/>
          </rPr>
          <t xml:space="preserve">Equation A.6 in EPA 1998
</t>
        </r>
      </text>
    </comment>
    <comment ref="G6" authorId="0" shapeId="0" xr:uid="{00000000-0006-0000-0400-000007000000}">
      <text>
        <r>
          <rPr>
            <sz val="8"/>
            <color indexed="81"/>
            <rFont val="Tahoma"/>
            <family val="2"/>
          </rPr>
          <t>Equation A.7 in EPA 1998</t>
        </r>
      </text>
    </comment>
    <comment ref="H6" authorId="0" shapeId="0" xr:uid="{00000000-0006-0000-0400-000008000000}">
      <text>
        <r>
          <rPr>
            <sz val="8"/>
            <color indexed="81"/>
            <rFont val="Tahoma"/>
            <family val="2"/>
          </rPr>
          <t>Equation A.8 in EPA 1998</t>
        </r>
      </text>
    </comment>
    <comment ref="T123" authorId="0" shapeId="0" xr:uid="{00000000-0006-0000-0400-000009000000}">
      <text>
        <r>
          <rPr>
            <sz val="8"/>
            <color indexed="81"/>
            <rFont val="Tahoma"/>
            <family val="2"/>
          </rPr>
          <t>See the "GW-1 VC &amp;TCE" tab</t>
        </r>
        <r>
          <rPr>
            <sz val="9"/>
            <color indexed="81"/>
            <rFont val="Tahoma"/>
            <family val="2"/>
          </rPr>
          <t>.</t>
        </r>
      </text>
    </comment>
    <comment ref="T127" authorId="0" shapeId="0" xr:uid="{00000000-0006-0000-0400-00000A000000}">
      <text>
        <r>
          <rPr>
            <sz val="8"/>
            <color indexed="81"/>
            <rFont val="Tahoma"/>
            <family val="2"/>
          </rPr>
          <t>See the "GW-1 VC &amp;TCE" tab.</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L16" authorId="0" shapeId="0" xr:uid="{00000000-0006-0000-0500-000001000000}">
      <text>
        <r>
          <rPr>
            <sz val="9"/>
            <color indexed="81"/>
            <rFont val="Tahoma"/>
            <family val="2"/>
          </rPr>
          <t>mutagen</t>
        </r>
      </text>
    </comment>
    <comment ref="N16" authorId="0" shapeId="0" xr:uid="{00000000-0006-0000-0500-000002000000}">
      <text>
        <r>
          <rPr>
            <sz val="9"/>
            <color indexed="81"/>
            <rFont val="Tahoma"/>
            <family val="2"/>
          </rPr>
          <t>mutagen</t>
        </r>
      </text>
    </comment>
    <comment ref="L17" authorId="0" shapeId="0" xr:uid="{00000000-0006-0000-0500-000003000000}">
      <text>
        <r>
          <rPr>
            <sz val="9"/>
            <color indexed="81"/>
            <rFont val="Tahoma"/>
            <family val="2"/>
          </rPr>
          <t>mutagen</t>
        </r>
      </text>
    </comment>
    <comment ref="N17" authorId="0" shapeId="0" xr:uid="{00000000-0006-0000-0500-000004000000}">
      <text>
        <r>
          <rPr>
            <sz val="9"/>
            <color indexed="81"/>
            <rFont val="Tahoma"/>
            <family val="2"/>
          </rPr>
          <t>mutagen</t>
        </r>
      </text>
    </comment>
    <comment ref="L18" authorId="0" shapeId="0" xr:uid="{00000000-0006-0000-0500-000005000000}">
      <text>
        <r>
          <rPr>
            <sz val="9"/>
            <color indexed="81"/>
            <rFont val="Tahoma"/>
            <family val="2"/>
          </rPr>
          <t>mutagen</t>
        </r>
      </text>
    </comment>
    <comment ref="N18" authorId="0" shapeId="0" xr:uid="{00000000-0006-0000-0500-000006000000}">
      <text>
        <r>
          <rPr>
            <sz val="9"/>
            <color indexed="81"/>
            <rFont val="Tahoma"/>
            <family val="2"/>
          </rPr>
          <t>mutagen</t>
        </r>
      </text>
    </comment>
    <comment ref="L20" authorId="0" shapeId="0" xr:uid="{00000000-0006-0000-0500-000007000000}">
      <text>
        <r>
          <rPr>
            <sz val="9"/>
            <color indexed="81"/>
            <rFont val="Tahoma"/>
            <family val="2"/>
          </rPr>
          <t>mutagen</t>
        </r>
      </text>
    </comment>
    <comment ref="N20" authorId="0" shapeId="0" xr:uid="{00000000-0006-0000-0500-000008000000}">
      <text>
        <r>
          <rPr>
            <sz val="9"/>
            <color indexed="81"/>
            <rFont val="Tahoma"/>
            <family val="2"/>
          </rPr>
          <t>mutagen</t>
        </r>
      </text>
    </comment>
    <comment ref="L39" authorId="0" shapeId="0" xr:uid="{00000000-0006-0000-0500-000009000000}">
      <text>
        <r>
          <rPr>
            <sz val="9"/>
            <color indexed="81"/>
            <rFont val="Tahoma"/>
            <family val="2"/>
          </rPr>
          <t>mutagen</t>
        </r>
      </text>
    </comment>
    <comment ref="N39" authorId="0" shapeId="0" xr:uid="{00000000-0006-0000-0500-00000A000000}">
      <text>
        <r>
          <rPr>
            <sz val="9"/>
            <color indexed="81"/>
            <rFont val="Tahoma"/>
            <family val="2"/>
          </rPr>
          <t>mutagen</t>
        </r>
      </text>
    </comment>
    <comment ref="L41" authorId="0" shapeId="0" xr:uid="{00000000-0006-0000-0500-00000B000000}">
      <text>
        <r>
          <rPr>
            <sz val="9"/>
            <color indexed="81"/>
            <rFont val="Tahoma"/>
            <family val="2"/>
          </rPr>
          <t>mutagen</t>
        </r>
      </text>
    </comment>
    <comment ref="N41" authorId="0" shapeId="0" xr:uid="{00000000-0006-0000-0500-00000C000000}">
      <text>
        <r>
          <rPr>
            <sz val="9"/>
            <color indexed="81"/>
            <rFont val="Tahoma"/>
            <family val="2"/>
          </rPr>
          <t>mutagen</t>
        </r>
      </text>
    </comment>
    <comment ref="L55" authorId="0" shapeId="0" xr:uid="{00000000-0006-0000-0500-00000D000000}">
      <text>
        <r>
          <rPr>
            <sz val="9"/>
            <color indexed="81"/>
            <rFont val="Tahoma"/>
            <family val="2"/>
          </rPr>
          <t>mutagen</t>
        </r>
      </text>
    </comment>
    <comment ref="N55" authorId="0" shapeId="0" xr:uid="{00000000-0006-0000-0500-00000E000000}">
      <text>
        <r>
          <rPr>
            <sz val="9"/>
            <color indexed="81"/>
            <rFont val="Tahoma"/>
            <family val="2"/>
          </rPr>
          <t>mutagen</t>
        </r>
      </text>
    </comment>
    <comment ref="A76" authorId="0" shapeId="0" xr:uid="{00000000-0006-0000-0500-00000F000000}">
      <text>
        <r>
          <rPr>
            <sz val="8"/>
            <color indexed="81"/>
            <rFont val="Tahoma"/>
            <family val="2"/>
          </rPr>
          <t>a.k.a. Lindane</t>
        </r>
      </text>
    </comment>
    <comment ref="L79" authorId="0" shapeId="0" xr:uid="{00000000-0006-0000-0500-000010000000}">
      <text>
        <r>
          <rPr>
            <sz val="9"/>
            <color indexed="81"/>
            <rFont val="Tahoma"/>
            <family val="2"/>
          </rPr>
          <t xml:space="preserve">mutagen
</t>
        </r>
      </text>
    </comment>
    <comment ref="N79" authorId="0" shapeId="0" xr:uid="{00000000-0006-0000-0500-000011000000}">
      <text>
        <r>
          <rPr>
            <sz val="9"/>
            <color indexed="81"/>
            <rFont val="Tahoma"/>
            <family val="2"/>
          </rPr>
          <t>mutagen</t>
        </r>
      </text>
    </comment>
    <comment ref="L123" authorId="0" shapeId="0" xr:uid="{00000000-0006-0000-0500-000012000000}">
      <text>
        <r>
          <rPr>
            <sz val="9"/>
            <color indexed="81"/>
            <rFont val="Tahoma"/>
            <family val="2"/>
          </rPr>
          <t xml:space="preserve">See GW-1 VC &amp; TCE Tab
</t>
        </r>
      </text>
    </comment>
    <comment ref="N123" authorId="0" shapeId="0" xr:uid="{00000000-0006-0000-0500-000013000000}">
      <text>
        <r>
          <rPr>
            <sz val="9"/>
            <color indexed="81"/>
            <rFont val="Tahoma"/>
            <family val="2"/>
          </rPr>
          <t>See GW-1 VC &amp; TCE</t>
        </r>
      </text>
    </comment>
    <comment ref="O123" authorId="0" shapeId="0" xr:uid="{00000000-0006-0000-0500-000014000000}">
      <text>
        <r>
          <rPr>
            <sz val="9"/>
            <color indexed="81"/>
            <rFont val="Tahoma"/>
            <family val="2"/>
          </rPr>
          <t>See GW-1 VC &amp; TCE</t>
        </r>
      </text>
    </comment>
    <comment ref="L127" authorId="0" shapeId="0" xr:uid="{00000000-0006-0000-0500-000015000000}">
      <text>
        <r>
          <rPr>
            <sz val="9"/>
            <color indexed="81"/>
            <rFont val="Tahoma"/>
            <family val="2"/>
          </rPr>
          <t xml:space="preserve">See GW-1 VC &amp; TCE Tab
</t>
        </r>
      </text>
    </comment>
    <comment ref="N127" authorId="0" shapeId="0" xr:uid="{00000000-0006-0000-0500-000016000000}">
      <text>
        <r>
          <rPr>
            <sz val="9"/>
            <color indexed="81"/>
            <rFont val="Tahoma"/>
            <family val="2"/>
          </rPr>
          <t>See GW-1 VC &amp; TCE Tab</t>
        </r>
      </text>
    </comment>
    <comment ref="O127" authorId="0" shapeId="0" xr:uid="{00000000-0006-0000-0500-000017000000}">
      <text>
        <r>
          <rPr>
            <sz val="9"/>
            <color indexed="81"/>
            <rFont val="Tahoma"/>
            <family val="2"/>
          </rPr>
          <t>See GW-1 VC &amp; TCE Tab</t>
        </r>
      </text>
    </comment>
    <comment ref="A128" authorId="0" shapeId="0" xr:uid="{00000000-0006-0000-0500-000018000000}">
      <text>
        <r>
          <rPr>
            <sz val="8"/>
            <color indexed="81"/>
            <rFont val="Tahoma"/>
            <family val="2"/>
          </rPr>
          <t>DIMETHYLBENZENES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600-000001000000}">
      <text>
        <r>
          <rPr>
            <sz val="9"/>
            <color indexed="81"/>
            <rFont val="Tahoma"/>
            <family val="2"/>
          </rPr>
          <t>Risk Factors include exposure and CSF. The MCP Method 1 Risk Limits are included in the Totals columns</t>
        </r>
      </text>
    </comment>
    <comment ref="C9" authorId="0" shapeId="0" xr:uid="{00000000-0006-0000-0600-000002000000}">
      <text>
        <r>
          <rPr>
            <sz val="9"/>
            <color indexed="81"/>
            <rFont val="Tahoma"/>
            <family val="2"/>
          </rPr>
          <t>Risk Factors include exposure and CSF. The MCP Method 1 Risk Limits are included in the Totals columns</t>
        </r>
      </text>
    </comment>
    <comment ref="D33" authorId="0" shapeId="0" xr:uid="{00000000-0006-0000-0600-000003000000}">
      <text>
        <r>
          <rPr>
            <sz val="9"/>
            <color indexed="81"/>
            <rFont val="Tahoma"/>
            <family val="2"/>
          </rPr>
          <t xml:space="preserve">This is like the EXPinh calculated in the GW-1 Inhale sheet for other chemicals.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N2" authorId="0" shapeId="0" xr:uid="{00000000-0006-0000-0700-000001000000}">
      <text>
        <r>
          <rPr>
            <b/>
            <sz val="8"/>
            <color indexed="81"/>
            <rFont val="Tahoma"/>
            <family val="2"/>
          </rPr>
          <t>Author:</t>
        </r>
        <r>
          <rPr>
            <sz val="8"/>
            <color indexed="81"/>
            <rFont val="Tahoma"/>
            <family val="2"/>
          </rPr>
          <t xml:space="preserve">
Calculated using the USEPA's Johnson &amp; Ettinger spreadsheet model, version 1.2, 9/98</t>
        </r>
      </text>
    </comment>
    <comment ref="K3" authorId="0" shapeId="0" xr:uid="{00000000-0006-0000-0700-000002000000}">
      <text>
        <r>
          <rPr>
            <b/>
            <sz val="8"/>
            <color indexed="81"/>
            <rFont val="Tahoma"/>
            <family val="2"/>
          </rPr>
          <t xml:space="preserve">Author:
May 2009: </t>
        </r>
        <r>
          <rPr>
            <sz val="8"/>
            <color indexed="81"/>
            <rFont val="Tahoma"/>
            <family val="2"/>
          </rPr>
          <t>MassDEP published updated “Typical Indoor Air Concentrations” in 2008. Those concentrations can be found at http://www.mass.gov/dep/cleanup/laws/policies.htm#tuiaf, and will be considered in the next revision of the Method 1 Standards.</t>
        </r>
      </text>
    </comment>
    <comment ref="L4" authorId="0" shapeId="0" xr:uid="{00000000-0006-0000-0700-000003000000}">
      <text>
        <r>
          <rPr>
            <b/>
            <sz val="8"/>
            <color indexed="81"/>
            <rFont val="Tahoma"/>
            <family val="2"/>
          </rPr>
          <t>Author:</t>
        </r>
        <r>
          <rPr>
            <sz val="8"/>
            <color indexed="81"/>
            <rFont val="Tahoma"/>
            <family val="2"/>
          </rPr>
          <t xml:space="preserve">
Highest of the Background and Risk-Based Levels</t>
        </r>
      </text>
    </comment>
    <comment ref="R4" authorId="0" shapeId="0" xr:uid="{00000000-0006-0000-0700-000004000000}">
      <text>
        <r>
          <rPr>
            <b/>
            <sz val="8"/>
            <color indexed="81"/>
            <rFont val="Tahoma"/>
            <family val="2"/>
          </rPr>
          <t>Author:</t>
        </r>
        <r>
          <rPr>
            <sz val="8"/>
            <color indexed="81"/>
            <rFont val="Tahoma"/>
            <family val="2"/>
          </rPr>
          <t xml:space="preserve">
= Cb*d/(a*C*H)</t>
        </r>
      </text>
    </comment>
    <comment ref="D16" authorId="0" shapeId="0" xr:uid="{00000000-0006-0000-0700-000005000000}">
      <text>
        <r>
          <rPr>
            <sz val="9"/>
            <color indexed="81"/>
            <rFont val="Tahoma"/>
            <family val="2"/>
          </rPr>
          <t xml:space="preserve">mutagen
</t>
        </r>
      </text>
    </comment>
    <comment ref="D17" authorId="0" shapeId="0" xr:uid="{00000000-0006-0000-0700-000006000000}">
      <text>
        <r>
          <rPr>
            <sz val="9"/>
            <color indexed="81"/>
            <rFont val="Tahoma"/>
            <family val="2"/>
          </rPr>
          <t xml:space="preserve">mutagen
</t>
        </r>
      </text>
    </comment>
    <comment ref="D18" authorId="0" shapeId="0" xr:uid="{00000000-0006-0000-0700-000007000000}">
      <text>
        <r>
          <rPr>
            <sz val="9"/>
            <color indexed="81"/>
            <rFont val="Tahoma"/>
            <family val="2"/>
          </rPr>
          <t xml:space="preserve">mutagen
</t>
        </r>
      </text>
    </comment>
    <comment ref="D20" authorId="0" shapeId="0" xr:uid="{00000000-0006-0000-0700-000008000000}">
      <text>
        <r>
          <rPr>
            <sz val="9"/>
            <color indexed="81"/>
            <rFont val="Tahoma"/>
            <family val="2"/>
          </rPr>
          <t xml:space="preserve">mutagen
</t>
        </r>
      </text>
    </comment>
    <comment ref="D39" authorId="0" shapeId="0" xr:uid="{00000000-0006-0000-0700-000009000000}">
      <text>
        <r>
          <rPr>
            <sz val="9"/>
            <color indexed="81"/>
            <rFont val="Tahoma"/>
            <family val="2"/>
          </rPr>
          <t xml:space="preserve">mutagen
</t>
        </r>
      </text>
    </comment>
    <comment ref="D41" authorId="0" shapeId="0" xr:uid="{00000000-0006-0000-0700-00000A000000}">
      <text>
        <r>
          <rPr>
            <b/>
            <sz val="9"/>
            <color indexed="81"/>
            <rFont val="Tahoma"/>
            <family val="2"/>
          </rPr>
          <t>mutagen</t>
        </r>
        <r>
          <rPr>
            <sz val="9"/>
            <color indexed="81"/>
            <rFont val="Tahoma"/>
            <family val="2"/>
          </rPr>
          <t xml:space="preserve">
</t>
        </r>
      </text>
    </comment>
    <comment ref="D55" authorId="0" shapeId="0" xr:uid="{00000000-0006-0000-0700-00000B000000}">
      <text>
        <r>
          <rPr>
            <b/>
            <sz val="9"/>
            <color indexed="81"/>
            <rFont val="Tahoma"/>
            <family val="2"/>
          </rPr>
          <t>mutagen</t>
        </r>
      </text>
    </comment>
    <comment ref="D79" authorId="0" shapeId="0" xr:uid="{00000000-0006-0000-0700-00000C000000}">
      <text>
        <r>
          <rPr>
            <b/>
            <sz val="9"/>
            <color indexed="81"/>
            <rFont val="Tahoma"/>
            <family val="2"/>
          </rPr>
          <t>mutagen</t>
        </r>
        <r>
          <rPr>
            <sz val="9"/>
            <color indexed="81"/>
            <rFont val="Tahoma"/>
            <family val="2"/>
          </rPr>
          <t xml:space="preserve">
</t>
        </r>
      </text>
    </comment>
    <comment ref="W99" authorId="0" shapeId="0" xr:uid="{00000000-0006-0000-0700-00000D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W100" authorId="0" shapeId="0" xr:uid="{00000000-0006-0000-0700-00000E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W101" authorId="0" shapeId="0" xr:uid="{00000000-0006-0000-0700-00000F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K102" authorId="0" shapeId="0" xr:uid="{00000000-0006-0000-0700-000010000000}">
      <text>
        <r>
          <rPr>
            <b/>
            <sz val="8"/>
            <color indexed="81"/>
            <rFont val="Tahoma"/>
            <family val="2"/>
          </rPr>
          <t>Author:</t>
        </r>
        <r>
          <rPr>
            <sz val="8"/>
            <color indexed="81"/>
            <rFont val="Tahoma"/>
            <family val="2"/>
          </rPr>
          <t xml:space="preserve">
Assumed consistent with the other fractional results</t>
        </r>
      </text>
    </comment>
    <comment ref="W102" authorId="0" shapeId="0" xr:uid="{00000000-0006-0000-0700-000011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W105" authorId="0" shapeId="0" xr:uid="{00000000-0006-0000-0700-000012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C123" authorId="0" shapeId="0" xr:uid="{00000000-0006-0000-0700-000013000000}">
      <text>
        <r>
          <rPr>
            <b/>
            <sz val="9"/>
            <color indexed="81"/>
            <rFont val="Tahoma"/>
            <family val="2"/>
          </rPr>
          <t>Author:</t>
        </r>
        <r>
          <rPr>
            <sz val="9"/>
            <color indexed="81"/>
            <rFont val="Tahoma"/>
            <family val="2"/>
          </rPr>
          <t xml:space="preserve">
See "GW2-TCE &amp; VC" Tab</t>
        </r>
      </text>
    </comment>
    <comment ref="D123" authorId="0" shapeId="0" xr:uid="{00000000-0006-0000-0700-000014000000}">
      <text>
        <r>
          <rPr>
            <b/>
            <sz val="9"/>
            <color indexed="81"/>
            <rFont val="Tahoma"/>
            <family val="2"/>
          </rPr>
          <t>Author:</t>
        </r>
        <r>
          <rPr>
            <sz val="9"/>
            <color indexed="81"/>
            <rFont val="Tahoma"/>
            <family val="2"/>
          </rPr>
          <t xml:space="preserve">
See "GW2-TCE &amp; VC" Tab</t>
        </r>
      </text>
    </comment>
    <comment ref="E123" authorId="0" shapeId="0" xr:uid="{00000000-0006-0000-0700-000015000000}">
      <text>
        <r>
          <rPr>
            <sz val="9"/>
            <color indexed="81"/>
            <rFont val="Tahoma"/>
            <family val="2"/>
          </rPr>
          <t>See "GW2-TCE &amp; VC" Tab.  Includes both mutagenic and nonmutagenic contributions.</t>
        </r>
      </text>
    </comment>
    <comment ref="D127" authorId="0" shapeId="0" xr:uid="{00000000-0006-0000-0700-000016000000}">
      <text>
        <r>
          <rPr>
            <sz val="9"/>
            <color indexed="81"/>
            <rFont val="Tahoma"/>
            <family val="2"/>
          </rPr>
          <t>Mutagen.  See "GW2-TCE &amp; VC" Tab.</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2" authorId="0" shapeId="0" xr:uid="{00000000-0006-0000-0900-000001000000}">
      <text>
        <r>
          <rPr>
            <b/>
            <sz val="8"/>
            <color indexed="81"/>
            <rFont val="Tahoma"/>
            <family val="2"/>
          </rPr>
          <t>Author:</t>
        </r>
        <r>
          <rPr>
            <sz val="8"/>
            <color indexed="81"/>
            <rFont val="Tahoma"/>
            <family val="2"/>
          </rPr>
          <t xml:space="preserve">
Upper Quartile (75th percentile) value from USEPA National Ambient Volatile Organic Compounds (VOCs) Database Update, 2/88, EPA/600/3-88/010(a) (Table V-2, page 40, converted from parts-per-billion volume), unless otherwise noted.</t>
        </r>
      </text>
    </comment>
    <comment ref="A72" authorId="0" shapeId="0" xr:uid="{00000000-0006-0000-0900-000002000000}">
      <text>
        <r>
          <rPr>
            <sz val="8"/>
            <color indexed="81"/>
            <rFont val="Tahoma"/>
            <family val="2"/>
          </rPr>
          <t>a.k.a. Lindane</t>
        </r>
      </text>
    </comment>
    <comment ref="A124" authorId="0" shapeId="0" xr:uid="{00000000-0006-0000-0900-000003000000}">
      <text>
        <r>
          <rPr>
            <sz val="8"/>
            <color indexed="81"/>
            <rFont val="Tahoma"/>
            <family val="2"/>
          </rPr>
          <t>DIMETHYLBENZENES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3" authorId="0" shapeId="0" xr:uid="{00000000-0006-0000-0B00-000001000000}">
      <text>
        <r>
          <rPr>
            <sz val="8"/>
            <color indexed="81"/>
            <rFont val="Tahoma"/>
            <family val="2"/>
          </rPr>
          <t>Groundwater background levels can be modified in spreadsheet "Toxicity".</t>
        </r>
      </text>
    </comment>
    <comment ref="E4" authorId="0" shapeId="0" xr:uid="{00000000-0006-0000-0B00-000002000000}">
      <text>
        <r>
          <rPr>
            <b/>
            <sz val="8"/>
            <color indexed="81"/>
            <rFont val="Tahoma"/>
            <family val="2"/>
          </rPr>
          <t>Author:</t>
        </r>
        <r>
          <rPr>
            <sz val="8"/>
            <color indexed="81"/>
            <rFont val="Tahoma"/>
            <family val="2"/>
          </rPr>
          <t xml:space="preserve">
AT123D groundwater model runs for chemicals within ranges based on Koc value.
Based on professional judgement:
1. Chemicals with Koc less than 1000 were assigned an attenuation factor = 2.5
2. Chemicals with Koc between 1,000 and 100,000 were assigned  attenuation factor = 25.
3. Chemicals with Koc &gt; 100,000 were assigned an attenuation factor = 100.</t>
        </r>
      </text>
    </comment>
    <comment ref="H4" authorId="0" shapeId="0" xr:uid="{00000000-0006-0000-0B00-000003000000}">
      <text>
        <r>
          <rPr>
            <sz val="8"/>
            <color indexed="81"/>
            <rFont val="Tahoma"/>
            <family val="2"/>
          </rPr>
          <t xml:space="preserve">PQLs can be modified in Spreadsheet "Toxicity".
</t>
        </r>
      </text>
    </comment>
    <comment ref="A55" authorId="0" shapeId="0" xr:uid="{00000000-0006-0000-0B00-000004000000}">
      <text>
        <r>
          <rPr>
            <sz val="8"/>
            <color indexed="81"/>
            <rFont val="Tahoma"/>
            <family val="2"/>
          </rPr>
          <t>Listed as methylene chloride in the WQC</t>
        </r>
      </text>
    </comment>
    <comment ref="E105" authorId="0" shapeId="0" xr:uid="{00000000-0006-0000-0B00-000005000000}">
      <text>
        <r>
          <rPr>
            <b/>
            <sz val="8"/>
            <color indexed="81"/>
            <rFont val="Tahoma"/>
            <family val="2"/>
          </rPr>
          <t>Author:</t>
        </r>
        <r>
          <rPr>
            <sz val="8"/>
            <color indexed="81"/>
            <rFont val="Tahoma"/>
            <family val="2"/>
          </rPr>
          <t xml:space="preserve">
This was set at 100 in the last version, manually, though it would be 2.5 if it followed the algorithm. C19-C36 SAYS it's 100 in the comment, but hasn't been since I inherited them.</t>
        </r>
      </text>
    </comment>
    <comment ref="J105" authorId="0" shapeId="0" xr:uid="{00000000-0006-0000-0B00-000006000000}">
      <text>
        <r>
          <rPr>
            <b/>
            <sz val="8"/>
            <color indexed="81"/>
            <rFont val="Tahoma"/>
            <family val="2"/>
          </rPr>
          <t>Author:</t>
        </r>
        <r>
          <rPr>
            <sz val="8"/>
            <color indexed="81"/>
            <rFont val="Tahoma"/>
            <family val="2"/>
          </rPr>
          <t xml:space="preserve">
Mean PAH Tox WITHOUT napthalene or 2-Methl-Napthalene.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6" authorId="0" shapeId="0" xr:uid="{00000000-0006-0000-0C00-000001000000}">
      <text>
        <r>
          <rPr>
            <sz val="8"/>
            <color indexed="81"/>
            <rFont val="Tahoma"/>
            <family val="2"/>
          </rPr>
          <t>a.k.a. Lindane</t>
        </r>
      </text>
    </comment>
    <comment ref="F111" authorId="0" shapeId="0" xr:uid="{00000000-0006-0000-0C00-000002000000}">
      <text>
        <r>
          <rPr>
            <sz val="9"/>
            <color indexed="81"/>
            <rFont val="Tahoma"/>
            <family val="2"/>
          </rPr>
          <t>Value for lentic systems. Value for lotic systems is 3.1 ug/L, GW-3 can be recalculated for lotic sites using that 3.1 ug/L value.</t>
        </r>
      </text>
    </comment>
    <comment ref="S119" authorId="0" shapeId="0" xr:uid="{00000000-0006-0000-0C00-000003000000}">
      <text>
        <r>
          <rPr>
            <sz val="8"/>
            <color indexed="81"/>
            <rFont val="Tahoma"/>
            <family val="2"/>
          </rPr>
          <t>"Avoidance", the endpoint of the study, made division by 10 unnecessary.</t>
        </r>
      </text>
    </comment>
    <comment ref="A128" authorId="0" shapeId="0" xr:uid="{00000000-0006-0000-0C00-000004000000}">
      <text>
        <r>
          <rPr>
            <sz val="8"/>
            <color indexed="81"/>
            <rFont val="Tahoma"/>
            <family val="2"/>
          </rPr>
          <t>DIMETHYLBENZENES</t>
        </r>
      </text>
    </comment>
    <comment ref="S128" authorId="0" shapeId="0" xr:uid="{00000000-0006-0000-0C00-000005000000}">
      <text>
        <r>
          <rPr>
            <sz val="8"/>
            <color indexed="81"/>
            <rFont val="Tahoma"/>
            <family val="2"/>
          </rPr>
          <t>"Avoidance", the endpoint of the study, made division by 10 unnecessary.</t>
        </r>
      </text>
    </comment>
  </commentList>
</comments>
</file>

<file path=xl/sharedStrings.xml><?xml version="1.0" encoding="utf-8"?>
<sst xmlns="http://schemas.openxmlformats.org/spreadsheetml/2006/main" count="2851" uniqueCount="1071">
  <si>
    <t>Alexander, McCarty and Bartlett.  1978.  Toxicity of perchloroethylene, trichloroethylene, 1,1,1-trichloroethane, and methylene chloride to fathead minnows.  Bull. Envieonm. Contam. Tosicol. 20: 334-352.</t>
  </si>
  <si>
    <t>Original AQUIRE printout has been lost.  April 2002 printout contains some lower values.</t>
  </si>
  <si>
    <t>Yoshioka, Y., Y. Ose and T. Sato. 1986. Correlation of the five test methods to assess chemical toxicity and relation to physical properties. Ecotoxicol. Environ. Safety 12(1):15-21.</t>
  </si>
  <si>
    <t>The toxicity value for flatworm (Dugesia japonica) was not used because the authors noted a poor correlation between the results of the flatworm tests with results of the other tests they evaluated.</t>
  </si>
  <si>
    <t>Neville, 1995</t>
  </si>
  <si>
    <t>Neville, C.M..  1995.  Short-term early life stage growth test using sacfry and early swim-up life stages of rainbow trout (Oncorhynchus mykiss): method development and data interpretation . . .  Ontario Ministry of Environment and Energy.</t>
  </si>
  <si>
    <t>Yoshioka, et al. 1986</t>
  </si>
  <si>
    <t xml:space="preserve">Birge, W.J..  1978.  Aquatic Toxicology of Coal and fly ash.  In: J.H.Thorp and J.W. Gibbons (Eds.), Dep. Energy Symp., Ser., Energy and Environmental Stress in Aquatic Systems, Augusta, GA.  48: 219-240. </t>
  </si>
  <si>
    <t>Tetrahymena pyriformis</t>
  </si>
  <si>
    <t>protozoan</t>
  </si>
  <si>
    <t xml:space="preserve">Sauvant, M. P., D. Pepin, C. A. Groliere and J. Bohatier. 1995. Effects of organic and inorganic substances on the cell proliferation of L-929 fibroblasts and Tetrahymena pyriformis GL protozoa for toxicological bioassays. Bull. Environ. Contam. Toxicol. </t>
  </si>
  <si>
    <t>Based on a toxicity study of protozoan cultured in growth medium.  This was the only study cited in AQUIRE.</t>
  </si>
  <si>
    <t>Oncorhychus kisutch</t>
  </si>
  <si>
    <t>SMCL</t>
  </si>
  <si>
    <t>AL</t>
  </si>
  <si>
    <t>µg/l</t>
  </si>
  <si>
    <t>Cwd</t>
  </si>
  <si>
    <t>Concentration</t>
  </si>
  <si>
    <t>Leaving</t>
  </si>
  <si>
    <t>Water Droplet</t>
  </si>
  <si>
    <t>S</t>
  </si>
  <si>
    <t>Indoor Air</t>
  </si>
  <si>
    <t>Generation</t>
  </si>
  <si>
    <t>C3</t>
  </si>
  <si>
    <t>µg/mg</t>
  </si>
  <si>
    <t>Drinking Water Concentrations</t>
  </si>
  <si>
    <t>Based on Inhalation Exposures</t>
  </si>
  <si>
    <t>Noncancer</t>
  </si>
  <si>
    <t>All Receptors:</t>
  </si>
  <si>
    <t>Showers</t>
  </si>
  <si>
    <t>per</t>
  </si>
  <si>
    <t>day</t>
  </si>
  <si>
    <t xml:space="preserve">Number of </t>
  </si>
  <si>
    <t>yr/min</t>
  </si>
  <si>
    <t>Non-Cancer</t>
  </si>
  <si>
    <t>In GW</t>
  </si>
  <si>
    <t>Lowest EPH fraction</t>
  </si>
  <si>
    <t>Ingestion</t>
  </si>
  <si>
    <t>Dermal</t>
  </si>
  <si>
    <t>DERMAL DOSE INFORMATION</t>
  </si>
  <si>
    <t>Effective</t>
  </si>
  <si>
    <t>Time to</t>
  </si>
  <si>
    <t>Ratio of perm.</t>
  </si>
  <si>
    <t>Lag</t>
  </si>
  <si>
    <t>Diffusivity of</t>
  </si>
  <si>
    <t xml:space="preserve">Reach </t>
  </si>
  <si>
    <t xml:space="preserve">in strateum </t>
  </si>
  <si>
    <t>Time</t>
  </si>
  <si>
    <t xml:space="preserve">Chemical </t>
  </si>
  <si>
    <t>Steady</t>
  </si>
  <si>
    <t xml:space="preserve">Absorbed Dose per event </t>
  </si>
  <si>
    <t xml:space="preserve">Equation used to </t>
  </si>
  <si>
    <t>corneum to</t>
  </si>
  <si>
    <t>(tau)</t>
  </si>
  <si>
    <t>Transfer</t>
  </si>
  <si>
    <t>State</t>
  </si>
  <si>
    <t>t*</t>
  </si>
  <si>
    <t>viable epidermis</t>
  </si>
  <si>
    <t>Through Skin</t>
  </si>
  <si>
    <t>when</t>
  </si>
  <si>
    <t>B</t>
  </si>
  <si>
    <t>hours</t>
  </si>
  <si>
    <t>Dsc</t>
  </si>
  <si>
    <t>B&gt;0.6</t>
  </si>
  <si>
    <t>b</t>
  </si>
  <si>
    <t>c</t>
  </si>
  <si>
    <t>Skin</t>
  </si>
  <si>
    <t>Thickness</t>
  </si>
  <si>
    <t>all receptors</t>
  </si>
  <si>
    <t>cm</t>
  </si>
  <si>
    <t>Drinking Water Dermal Exposure during Showering/Bathing</t>
  </si>
  <si>
    <t>Event</t>
  </si>
  <si>
    <t>Surface Area</t>
  </si>
  <si>
    <t>Dermal Factor</t>
  </si>
  <si>
    <t>SA</t>
  </si>
  <si>
    <t>cm2</t>
  </si>
  <si>
    <t>events/day</t>
  </si>
  <si>
    <t>hour/event</t>
  </si>
  <si>
    <t>(cm2*event)/(kg*day)</t>
  </si>
  <si>
    <t>Multiplier</t>
  </si>
  <si>
    <t>Outside</t>
  </si>
  <si>
    <t>for chemicals</t>
  </si>
  <si>
    <t xml:space="preserve">Effective </t>
  </si>
  <si>
    <t>"Fraction</t>
  </si>
  <si>
    <t>Predictive</t>
  </si>
  <si>
    <t>Absorbed"</t>
  </si>
  <si>
    <t>Considering FA term</t>
  </si>
  <si>
    <t>calculate risk</t>
  </si>
  <si>
    <t>Domain</t>
  </si>
  <si>
    <t>FA</t>
  </si>
  <si>
    <t>Predictive Domain</t>
  </si>
  <si>
    <t>*</t>
  </si>
  <si>
    <t>DAevent (mg/cm2-event)/(µg/L)</t>
  </si>
  <si>
    <t>per area skin exposed per µg/L</t>
  </si>
  <si>
    <t>39638-32-9</t>
  </si>
  <si>
    <t>16065-83-1</t>
  </si>
  <si>
    <t>18540-29-9</t>
  </si>
  <si>
    <t>Calculations based on US EPA Draft Dermal Guidance</t>
  </si>
  <si>
    <t>to evaluate the dermal exposures associated with use of drinking water.</t>
  </si>
  <si>
    <t>Database of toxicity values and physical constants used in calculations</t>
  </si>
  <si>
    <t>…continued from previous page</t>
  </si>
  <si>
    <t>Constants</t>
  </si>
  <si>
    <t>22967-92-6</t>
  </si>
  <si>
    <t>PETROLEUM HYDROCARBONS</t>
  </si>
  <si>
    <t>Candidate Ecological Benchmarks</t>
  </si>
  <si>
    <t>Chronic or Estimated</t>
  </si>
  <si>
    <t>CMC(FW)</t>
  </si>
  <si>
    <t>CCC(FW)</t>
  </si>
  <si>
    <t>CMC(SW)</t>
  </si>
  <si>
    <t>CCC(SW)</t>
  </si>
  <si>
    <t>NAWQC</t>
  </si>
  <si>
    <t>Drinking Water Ingestion Exposures</t>
  </si>
  <si>
    <t>Endpoint</t>
  </si>
  <si>
    <t>Reference for</t>
  </si>
  <si>
    <t>CASRN</t>
  </si>
  <si>
    <t>(ug/L)</t>
  </si>
  <si>
    <t>Type</t>
  </si>
  <si>
    <t>Selected Benchmark</t>
  </si>
  <si>
    <t>EPA, 1999</t>
  </si>
  <si>
    <t>No Data</t>
  </si>
  <si>
    <t>McKloskey and Oris, 1991</t>
  </si>
  <si>
    <t>Wernersson and Dave, 1997</t>
  </si>
  <si>
    <t>Newsted and Giesy, 1987</t>
  </si>
  <si>
    <t>LeBlanc, 1980</t>
  </si>
  <si>
    <t>Johnson and Finley, 1980</t>
  </si>
  <si>
    <t>Alexander et al, 1978</t>
  </si>
  <si>
    <t>Yoshioka et al, 1986</t>
  </si>
  <si>
    <t>AQUIRE = Aquatic Toxicity Information Retrieval Database http://www.epa.gov/ecotox/</t>
  </si>
  <si>
    <t>CASRN = Chemical Abstracts Service Registry Number</t>
  </si>
  <si>
    <t>Surface water benchmark for derivation of GW-3 Standard is selected according to following sequence:</t>
  </si>
  <si>
    <t>CCC = Criterion Continuous Concentration</t>
  </si>
  <si>
    <t>dilution/</t>
  </si>
  <si>
    <t>GW Value</t>
  </si>
  <si>
    <t>adjusted for</t>
  </si>
  <si>
    <t>1. Select lowest NAWQC for environmental effects in saltwater or freshwater (CMC, CCC).</t>
  </si>
  <si>
    <t>CMC = Criterion Maximum Concentration</t>
  </si>
  <si>
    <t>2. If above unavailable, select lowest chronic value from AQUIRE as ecological benchmark.</t>
  </si>
  <si>
    <t>FW = Freshwater</t>
  </si>
  <si>
    <t>3. If all above unavailable, select lowest acute value from AQUIRE as ecological benchmark.</t>
  </si>
  <si>
    <t>NAWQC = National Ambient Water Quality Criterion</t>
  </si>
  <si>
    <t>4. If all above unavailable, select lowest chronic value from ORNL (Suter and Tsao, 1996) or others as ecological benchmark.</t>
  </si>
  <si>
    <t>ORNL = Oak Ridge National Laboratory</t>
  </si>
  <si>
    <t>5. If all above unavailable, select lowest chronic Tier II value from ORNL (Suter and Tsao, 1996) or others as ecological benchmark.</t>
  </si>
  <si>
    <t>SW = Saltwater</t>
  </si>
  <si>
    <t>6. If only an acute value has been selected after steps 1-5, divide the acute value by 10 to estimate a chronic value as ecological benchmark.</t>
  </si>
  <si>
    <t>7. Select surface water benchmark as the lower of the selected ecological benchmark or the NAWQC for fish consumption.</t>
  </si>
  <si>
    <t xml:space="preserve"> AWQC,</t>
  </si>
  <si>
    <t>This workbook file is comprised of the following spreadsheets:</t>
  </si>
  <si>
    <t>Sheet Name</t>
  </si>
  <si>
    <t>Description</t>
  </si>
  <si>
    <t>1.</t>
  </si>
  <si>
    <t>2.</t>
  </si>
  <si>
    <t>Questions and Comments may be addressed to:</t>
  </si>
  <si>
    <t>Massachusetts Department of Environmental Protection</t>
  </si>
  <si>
    <t>Office of Research and Standards</t>
  </si>
  <si>
    <t>Background</t>
  </si>
  <si>
    <t>OIL OR HAZARDOUS MATERIAL</t>
  </si>
  <si>
    <t>µg/L</t>
  </si>
  <si>
    <t>ACENAPHTHENE</t>
  </si>
  <si>
    <t>ACENAPHTHYLENE</t>
  </si>
  <si>
    <t>ACETONE</t>
  </si>
  <si>
    <t>ALDRIN</t>
  </si>
  <si>
    <t>ANTHRACENE</t>
  </si>
  <si>
    <t>ANTIMONY</t>
  </si>
  <si>
    <t>ARSENIC</t>
  </si>
  <si>
    <t>Benchmarks Selected as Target Values</t>
  </si>
  <si>
    <t>BARIUM</t>
  </si>
  <si>
    <t>BENZENE</t>
  </si>
  <si>
    <t>BENZO(a)ANTHRACENE</t>
  </si>
  <si>
    <t>BENZO(a)PYRENE</t>
  </si>
  <si>
    <t>BENZO(b)FLUORANTHENE</t>
  </si>
  <si>
    <t>BENZO(g,h,i)PERYLENE</t>
  </si>
  <si>
    <t>BENZO(k)FLUORANTHENE</t>
  </si>
  <si>
    <t>BERYLLIUM</t>
  </si>
  <si>
    <t>BIPHENYL, 1,1-</t>
  </si>
  <si>
    <t>BIS(2-CHLOROETHYL)ETHER</t>
  </si>
  <si>
    <t>BIS(2-CHLOROISOPROPYL)ETHER</t>
  </si>
  <si>
    <t>BIS(2-ETHYLHEXYL)PHTHALATE</t>
  </si>
  <si>
    <t>BROMODICHLOROMETHANE</t>
  </si>
  <si>
    <t>BROMOFORM</t>
  </si>
  <si>
    <t>BROMOMETHANE</t>
  </si>
  <si>
    <t>CADMIUM</t>
  </si>
  <si>
    <t>CARBON TETRACHLORIDE</t>
  </si>
  <si>
    <t>CHLORDANE</t>
  </si>
  <si>
    <t>CHLOROANILINE, p-</t>
  </si>
  <si>
    <t>CHLOROBENZENE</t>
  </si>
  <si>
    <t>CHLOROFORM</t>
  </si>
  <si>
    <t>CHLOROPHENOL, 2-</t>
  </si>
  <si>
    <t>CHROMIUM (TOTAL)</t>
  </si>
  <si>
    <t>CHROMIUM(III)</t>
  </si>
  <si>
    <t>CHROMIUM(VI)</t>
  </si>
  <si>
    <t>CHRYSENE</t>
  </si>
  <si>
    <t>DIBENZO(a,h)ANTHRACENE</t>
  </si>
  <si>
    <t>DIBROMOCHLOROMETHANE</t>
  </si>
  <si>
    <t>DICHLOROBENZENE, 1,2-  (o-DCB)</t>
  </si>
  <si>
    <t>DICHLOROBENZENE, 1,3-  (m-DCB)</t>
  </si>
  <si>
    <t>DICHLOROBENZENE, 1,4-  (p-DCB)</t>
  </si>
  <si>
    <t>DICHLOROBENZIDINE, 3,3'-</t>
  </si>
  <si>
    <t>DICHLORODIPHENYL DICHLOROETHANE, P,P'- (DDD)</t>
  </si>
  <si>
    <t>DICHLORODIPHENYLDICHLOROETHYLENE,P,P'- (DDE)</t>
  </si>
  <si>
    <t>DICHLORODIPHENYLTRICHLOROETHANE, P,P'- (DDT)</t>
  </si>
  <si>
    <t>DICHLOROETHANE, 1,1-</t>
  </si>
  <si>
    <t>DICHLOROETHANE, 1,2-</t>
  </si>
  <si>
    <t>DICHLOROETHYLENE, 1,1-</t>
  </si>
  <si>
    <t>DICHLOROETHYLENE, CIS-1,2-</t>
  </si>
  <si>
    <t>DICHLOROETHYLENE, TRANS-1,2-</t>
  </si>
  <si>
    <t>DICHLOROMETHANE</t>
  </si>
  <si>
    <t>DICHLOROPHENOL, 2,4-</t>
  </si>
  <si>
    <t>DICHLOROPROPANE, 1,2-</t>
  </si>
  <si>
    <t>DICHLOROPROPENE, 1,3-</t>
  </si>
  <si>
    <t>DIELDRIN</t>
  </si>
  <si>
    <t>DIETHYL PHTHALATE</t>
  </si>
  <si>
    <t>DIMETHYL PHTHALATE</t>
  </si>
  <si>
    <t>DIMETHYLPHENOL, 2,4-</t>
  </si>
  <si>
    <t>DINITROPHENOL, 2,4-</t>
  </si>
  <si>
    <t>DINITROTOLUENE, 2,4-</t>
  </si>
  <si>
    <t>ENDOSULFAN</t>
  </si>
  <si>
    <t>ENDRIN</t>
  </si>
  <si>
    <t>ETHYLBENZENE</t>
  </si>
  <si>
    <t>FLUORANTHENE</t>
  </si>
  <si>
    <t>FLUORENE</t>
  </si>
  <si>
    <t>HEPTACHLOR</t>
  </si>
  <si>
    <t>HEPTACHLOR EPOXIDE</t>
  </si>
  <si>
    <t>HEXACHLOROBENZENE</t>
  </si>
  <si>
    <t>HEXACHLOROBUTADIENE</t>
  </si>
  <si>
    <t>HEXACHLOROCYCLOHEXANE, GAMMA (gamma-HCH)</t>
  </si>
  <si>
    <t>HEXACHLOROETHANE</t>
  </si>
  <si>
    <t>INDENO(1,2,3-cd)PYRENE</t>
  </si>
  <si>
    <t>LEAD</t>
  </si>
  <si>
    <t>MERCURY</t>
  </si>
  <si>
    <t>METHOXYCHLOR</t>
  </si>
  <si>
    <t>METHYL ETHYL KETONE</t>
  </si>
  <si>
    <t>METHYL ISOBUTYL KETONE</t>
  </si>
  <si>
    <t>METHYL MERCURY</t>
  </si>
  <si>
    <t>METHYL TERT BUTYL ETHER</t>
  </si>
  <si>
    <t>METHYLNAPHTHALENE, 2-</t>
  </si>
  <si>
    <t>NAPHTHALENE</t>
  </si>
  <si>
    <t>NICKEL</t>
  </si>
  <si>
    <t>PENTACHLOROPHENOL</t>
  </si>
  <si>
    <t>PHENANTHRENE</t>
  </si>
  <si>
    <t>PHENOL</t>
  </si>
  <si>
    <t>POLYCHLORINATED BIPHENYLS (PCBs)</t>
  </si>
  <si>
    <t>PYRENE</t>
  </si>
  <si>
    <t>SELENIUM</t>
  </si>
  <si>
    <t>SILVER</t>
  </si>
  <si>
    <t>STYRENE</t>
  </si>
  <si>
    <t>TETRACHLOROETHANE, 1,1,1,2-</t>
  </si>
  <si>
    <t>TETRACHLOROETHANE, 1,1,2,2-</t>
  </si>
  <si>
    <t>TETRACHLOROETHYLENE</t>
  </si>
  <si>
    <t>THALLIUM</t>
  </si>
  <si>
    <t>TOLUENE</t>
  </si>
  <si>
    <t>TRICHLOROBENZENE, 1,2,4-</t>
  </si>
  <si>
    <t>TRICHLOROETHANE, 1,1,1-</t>
  </si>
  <si>
    <t>TRICHLOROETHANE, 1,1,2-</t>
  </si>
  <si>
    <t>TRICHLOROETHYLENE</t>
  </si>
  <si>
    <t>TRICHLOROPHENOL, 2,4,5-</t>
  </si>
  <si>
    <t>TRICHLOROPHENOL 2,4,6-</t>
  </si>
  <si>
    <t>VANADIUM</t>
  </si>
  <si>
    <t>VINYL CHLORIDE</t>
  </si>
  <si>
    <t>ZINC</t>
  </si>
  <si>
    <t>GROUNDWATER</t>
  </si>
  <si>
    <t>LOWEST</t>
  </si>
  <si>
    <t>PROTECTED FOR</t>
  </si>
  <si>
    <t>DRINKING WATER USE</t>
  </si>
  <si>
    <t>Cancer</t>
  </si>
  <si>
    <t>Bckgrnd,</t>
  </si>
  <si>
    <t>Basis</t>
  </si>
  <si>
    <t>Level</t>
  </si>
  <si>
    <t>PQL</t>
  </si>
  <si>
    <t>BASIS</t>
  </si>
  <si>
    <t>ug/L</t>
  </si>
  <si>
    <t>HIGHEST</t>
  </si>
  <si>
    <t>GW-2</t>
  </si>
  <si>
    <t>Source</t>
  </si>
  <si>
    <t>Units</t>
  </si>
  <si>
    <t>Attenuation</t>
  </si>
  <si>
    <t>Conversion</t>
  </si>
  <si>
    <t>Ceiling</t>
  </si>
  <si>
    <t>Factor</t>
  </si>
  <si>
    <t>Value</t>
  </si>
  <si>
    <t>(Rounded)</t>
  </si>
  <si>
    <t>(d)</t>
  </si>
  <si>
    <t>CYANIDE</t>
  </si>
  <si>
    <t>ETHYLENE DIBROMIDE</t>
  </si>
  <si>
    <t>Lowest</t>
  </si>
  <si>
    <t>Adjusted</t>
  </si>
  <si>
    <t>XYLENES (Mixed Isomers)</t>
  </si>
  <si>
    <t>Chronic</t>
  </si>
  <si>
    <t>Average</t>
  </si>
  <si>
    <t>Exposure</t>
  </si>
  <si>
    <t>Averaging</t>
  </si>
  <si>
    <t>Body Weight</t>
  </si>
  <si>
    <t>Rate</t>
  </si>
  <si>
    <t>Frequency</t>
  </si>
  <si>
    <t>Period</t>
  </si>
  <si>
    <t>Constant</t>
  </si>
  <si>
    <t>BW</t>
  </si>
  <si>
    <t>EF1</t>
  </si>
  <si>
    <t>EF2</t>
  </si>
  <si>
    <t>EP</t>
  </si>
  <si>
    <t>AP</t>
  </si>
  <si>
    <t>C1</t>
  </si>
  <si>
    <t>C2</t>
  </si>
  <si>
    <t>kg</t>
  </si>
  <si>
    <t>days/week</t>
  </si>
  <si>
    <t>weeks/year</t>
  </si>
  <si>
    <t>years</t>
  </si>
  <si>
    <t>days/year</t>
  </si>
  <si>
    <t>Noncancer Risk</t>
  </si>
  <si>
    <t>Average Daily</t>
  </si>
  <si>
    <t>Receptor:</t>
  </si>
  <si>
    <t>Cancer Risk</t>
  </si>
  <si>
    <t>HENRY'S</t>
  </si>
  <si>
    <t>LAW</t>
  </si>
  <si>
    <t>CONSTANT</t>
  </si>
  <si>
    <t>atm-m3/mol</t>
  </si>
  <si>
    <t>g/mole</t>
  </si>
  <si>
    <t>Threshold</t>
  </si>
  <si>
    <t>Inhalation</t>
  </si>
  <si>
    <t>Drinking Water Exposure Assumptions</t>
  </si>
  <si>
    <t>TCDD, 2,3,7,8-  (equivalents)</t>
  </si>
  <si>
    <t>Drinking Water</t>
  </si>
  <si>
    <t>Intake Rate</t>
  </si>
  <si>
    <t>VI</t>
  </si>
  <si>
    <t>L/day</t>
  </si>
  <si>
    <t>Introduction</t>
  </si>
  <si>
    <t>This spreadsheet.</t>
  </si>
  <si>
    <t>HI =</t>
  </si>
  <si>
    <t>ELCR=</t>
  </si>
  <si>
    <t>This table presents exposure factors for the evaluation of a residential drinking water exposure, both for noncancer and cancer health endpoints.</t>
  </si>
  <si>
    <t>factor</t>
  </si>
  <si>
    <t>attenuation</t>
  </si>
  <si>
    <t>These factors are receptor-specific and apply regardless of contaminant of concern.  These values are then used in combination with</t>
  </si>
  <si>
    <t>Risk-Based</t>
  </si>
  <si>
    <t>Development of MCP Risk-Based Levels for Soil and Groundwater</t>
  </si>
  <si>
    <t>GW-1</t>
  </si>
  <si>
    <t>CALCULATED LEVELS</t>
  </si>
  <si>
    <t>mg/µg</t>
  </si>
  <si>
    <t>year/day</t>
  </si>
  <si>
    <t>(L*mg)/(kg*ug*d)</t>
  </si>
  <si>
    <t>Receptor Total:</t>
  </si>
  <si>
    <t>MMCL</t>
  </si>
  <si>
    <t>ORSGL</t>
  </si>
  <si>
    <t>DIOXANE, 1,4-</t>
  </si>
  <si>
    <t>Non-cancer</t>
  </si>
  <si>
    <t>Freshwater</t>
  </si>
  <si>
    <t>Saltwater</t>
  </si>
  <si>
    <t>Acute</t>
  </si>
  <si>
    <t>Only</t>
  </si>
  <si>
    <t>GW-3 Standards</t>
  </si>
  <si>
    <t>Risk</t>
  </si>
  <si>
    <t>50%</t>
  </si>
  <si>
    <t>Odor</t>
  </si>
  <si>
    <t>dimensionless</t>
  </si>
  <si>
    <t>L/m3</t>
  </si>
  <si>
    <t>Air Level</t>
  </si>
  <si>
    <t>Indoor</t>
  </si>
  <si>
    <t>Target</t>
  </si>
  <si>
    <t>Columns</t>
  </si>
  <si>
    <t>Air</t>
  </si>
  <si>
    <t>basis</t>
  </si>
  <si>
    <t>Highest,</t>
  </si>
  <si>
    <t>Background,</t>
  </si>
  <si>
    <t>GW-3</t>
  </si>
  <si>
    <t>Drinking Water Inhalation Exposures</t>
  </si>
  <si>
    <t>INHALATION EXPOSURES</t>
  </si>
  <si>
    <t>FROM SHOWERING</t>
  </si>
  <si>
    <t>Molecular</t>
  </si>
  <si>
    <t>Weight</t>
  </si>
  <si>
    <t>°K</t>
  </si>
  <si>
    <t>Shower</t>
  </si>
  <si>
    <t>Water</t>
  </si>
  <si>
    <t>Water Temp</t>
  </si>
  <si>
    <t>Ts</t>
  </si>
  <si>
    <t>cp</t>
  </si>
  <si>
    <t>us</t>
  </si>
  <si>
    <t>Viscosity</t>
  </si>
  <si>
    <t>at Ts</t>
  </si>
  <si>
    <t>d</t>
  </si>
  <si>
    <t>mm</t>
  </si>
  <si>
    <t>droplet</t>
  </si>
  <si>
    <t>diameter</t>
  </si>
  <si>
    <t>Flow Rate</t>
  </si>
  <si>
    <t>FR</t>
  </si>
  <si>
    <t>l/min</t>
  </si>
  <si>
    <t>SV</t>
  </si>
  <si>
    <t>m3</t>
  </si>
  <si>
    <t>Room Air</t>
  </si>
  <si>
    <t>Volume</t>
  </si>
  <si>
    <t>R</t>
  </si>
  <si>
    <t>Exchange</t>
  </si>
  <si>
    <t>1/min</t>
  </si>
  <si>
    <t>min</t>
  </si>
  <si>
    <t>Ds</t>
  </si>
  <si>
    <t>Duration</t>
  </si>
  <si>
    <t>Dt</t>
  </si>
  <si>
    <t>Total Time</t>
  </si>
  <si>
    <t>in Shower</t>
  </si>
  <si>
    <t>Room</t>
  </si>
  <si>
    <t>Gas</t>
  </si>
  <si>
    <t>atm-m3/mol-K</t>
  </si>
  <si>
    <t>T</t>
  </si>
  <si>
    <t>Temperature</t>
  </si>
  <si>
    <t>kg(H2O)</t>
  </si>
  <si>
    <t>cm/hr</t>
  </si>
  <si>
    <t>gas-film</t>
  </si>
  <si>
    <t>mass</t>
  </si>
  <si>
    <t>transfer</t>
  </si>
  <si>
    <t>coefficient</t>
  </si>
  <si>
    <t>liquid-film</t>
  </si>
  <si>
    <t>kl(CO2)</t>
  </si>
  <si>
    <t>Tl</t>
  </si>
  <si>
    <t>calibration</t>
  </si>
  <si>
    <t>water temp</t>
  </si>
  <si>
    <t>of KL</t>
  </si>
  <si>
    <t>ul</t>
  </si>
  <si>
    <t>at Tl</t>
  </si>
  <si>
    <t>viscosity</t>
  </si>
  <si>
    <t>water</t>
  </si>
  <si>
    <t>INTERIM CALCULATIONS</t>
  </si>
  <si>
    <t>KL</t>
  </si>
  <si>
    <t>Overall</t>
  </si>
  <si>
    <t>Mass Transfer</t>
  </si>
  <si>
    <t>Coefficient</t>
  </si>
  <si>
    <t>mass transfer</t>
  </si>
  <si>
    <t>kl</t>
  </si>
  <si>
    <t>KaL</t>
  </si>
  <si>
    <t>EXPinh</t>
  </si>
  <si>
    <t>days/minute</t>
  </si>
  <si>
    <t>time</t>
  </si>
  <si>
    <t>ts</t>
  </si>
  <si>
    <t>sec</t>
  </si>
  <si>
    <t>HMX</t>
  </si>
  <si>
    <t>RDX</t>
  </si>
  <si>
    <t>Inhalation Factor</t>
  </si>
  <si>
    <t>EF</t>
  </si>
  <si>
    <t>Inhalation Exposure Assumptions</t>
  </si>
  <si>
    <t>This table presents exposure factors for the evaluation of the inhalation of material volatilized into a residence, both for noncancer and cancer health endpoints.</t>
  </si>
  <si>
    <t>chemical-specific factors to calculate the GW-2 standards.</t>
  </si>
  <si>
    <t>α</t>
  </si>
  <si>
    <t>(b)</t>
  </si>
  <si>
    <t xml:space="preserve">Exposure </t>
  </si>
  <si>
    <t>DWEF</t>
  </si>
  <si>
    <t>HLC</t>
  </si>
  <si>
    <t>MW</t>
  </si>
  <si>
    <t>n</t>
  </si>
  <si>
    <t>outside Effective</t>
  </si>
  <si>
    <t>DM</t>
  </si>
  <si>
    <t>DWDF</t>
  </si>
  <si>
    <r>
      <t>DA</t>
    </r>
    <r>
      <rPr>
        <vertAlign val="subscript"/>
        <sz val="10"/>
        <rFont val="Arial"/>
        <family val="2"/>
      </rPr>
      <t xml:space="preserve"> event</t>
    </r>
  </si>
  <si>
    <r>
      <t>IF</t>
    </r>
    <r>
      <rPr>
        <vertAlign val="subscript"/>
        <sz val="10"/>
        <rFont val="Arial"/>
        <family val="2"/>
      </rPr>
      <t>ia</t>
    </r>
  </si>
  <si>
    <t>Groundwater</t>
  </si>
  <si>
    <t>DEP</t>
  </si>
  <si>
    <t>Degradation</t>
  </si>
  <si>
    <t>Dilution,</t>
  </si>
  <si>
    <t>Derivation of the GW-2 Attenuation Factor using the Johnson &amp; Ettinger Model</t>
  </si>
  <si>
    <t>Birge, 1978</t>
  </si>
  <si>
    <t>Kimball, 1978</t>
  </si>
  <si>
    <t>Henry's law</t>
  </si>
  <si>
    <t>constant at</t>
  </si>
  <si>
    <t>ave. groundwater</t>
  </si>
  <si>
    <t>temperature,</t>
  </si>
  <si>
    <t>Value from</t>
  </si>
  <si>
    <t>Acute Value</t>
  </si>
  <si>
    <t>Final Value</t>
  </si>
  <si>
    <t>AQUIRE</t>
  </si>
  <si>
    <t xml:space="preserve">Alternative </t>
  </si>
  <si>
    <t>Divided by 10</t>
  </si>
  <si>
    <t>From AQUIRE</t>
  </si>
  <si>
    <t>Search</t>
  </si>
  <si>
    <t>Reference</t>
  </si>
  <si>
    <t>Date</t>
  </si>
  <si>
    <t xml:space="preserve">Chronic </t>
  </si>
  <si>
    <t>chronic LOEC</t>
  </si>
  <si>
    <t>acute LC50/10</t>
  </si>
  <si>
    <t>chronic LC50</t>
  </si>
  <si>
    <t>Project files</t>
  </si>
  <si>
    <t>Moles et al., 1979</t>
  </si>
  <si>
    <t>Trucco et al., 1983</t>
  </si>
  <si>
    <t>acute EC50/10</t>
  </si>
  <si>
    <t>Gersich et al., 1989</t>
  </si>
  <si>
    <t>LeBlanc</t>
  </si>
  <si>
    <t>Rhodes et al., 1995</t>
  </si>
  <si>
    <t>acute LOEC/10</t>
  </si>
  <si>
    <t>Le Curieux et al., 1995</t>
  </si>
  <si>
    <t>Buccafusco et al., 1981</t>
  </si>
  <si>
    <t>Canton et al., 1980</t>
  </si>
  <si>
    <t>Yoshioka et al., 1986</t>
  </si>
  <si>
    <t>Lee at al., 1993</t>
  </si>
  <si>
    <t>Birge et al., 1979</t>
  </si>
  <si>
    <t xml:space="preserve"> </t>
  </si>
  <si>
    <t>Use the CrVI value</t>
  </si>
  <si>
    <t>CCC (FW) for Cr VI</t>
  </si>
  <si>
    <t xml:space="preserve">acute </t>
  </si>
  <si>
    <t>Mattice et al., 1981</t>
  </si>
  <si>
    <t>Calamari et al., 1983</t>
  </si>
  <si>
    <t>Ahmad et al., 1984</t>
  </si>
  <si>
    <t>Smith et al., 1991</t>
  </si>
  <si>
    <t>Burton and Fisher 1990</t>
  </si>
  <si>
    <t>Phipps et al., 1995</t>
  </si>
  <si>
    <t>Hoke et al., 1994</t>
  </si>
  <si>
    <t>Used value for 1,2 DCA</t>
  </si>
  <si>
    <t>Dill et al., 1980</t>
  </si>
  <si>
    <t>Suter and Tsao</t>
  </si>
  <si>
    <t>Benoit et al., 1982</t>
  </si>
  <si>
    <t>Wilson et al., 1978</t>
  </si>
  <si>
    <t>Vigano, 1993</t>
  </si>
  <si>
    <t>CMC(SW)/10</t>
  </si>
  <si>
    <t>EPA,1999</t>
  </si>
  <si>
    <t>chronic NOEC</t>
  </si>
  <si>
    <t>Bentley et al., 1984</t>
  </si>
  <si>
    <t>(a)</t>
  </si>
  <si>
    <t>EPA 1999</t>
  </si>
  <si>
    <t>Project files/inorg. Hg</t>
  </si>
  <si>
    <t>Wong et al. 2001</t>
  </si>
  <si>
    <t>Pelletier, et al.1997</t>
  </si>
  <si>
    <t>Burton, et al.</t>
  </si>
  <si>
    <t>CCC</t>
  </si>
  <si>
    <t>Quershi, et al., 1982</t>
  </si>
  <si>
    <t>chronicLOEC</t>
  </si>
  <si>
    <t>Mehrle et al., 1988</t>
  </si>
  <si>
    <t>Buccafusco, et al. 1981</t>
  </si>
  <si>
    <t>Ahmad, et al., 1984</t>
  </si>
  <si>
    <t>chronic</t>
  </si>
  <si>
    <t>Birge, et al. 1979</t>
  </si>
  <si>
    <t>Maynard,et al.1981</t>
  </si>
  <si>
    <t>.</t>
  </si>
  <si>
    <t>Birge,  1978</t>
  </si>
  <si>
    <t>Sauvant et al, 1995</t>
  </si>
  <si>
    <t>AQUIRE Referenced Lowest</t>
  </si>
  <si>
    <t xml:space="preserve">  Value from Alternative Source</t>
  </si>
  <si>
    <t>Test</t>
  </si>
  <si>
    <t xml:space="preserve">Selected </t>
  </si>
  <si>
    <t>Citation</t>
  </si>
  <si>
    <t>Species</t>
  </si>
  <si>
    <t>Common Name</t>
  </si>
  <si>
    <t>Effect</t>
  </si>
  <si>
    <t>(hr)</t>
  </si>
  <si>
    <t>Conditions</t>
  </si>
  <si>
    <t>Number</t>
  </si>
  <si>
    <t>Notes</t>
  </si>
  <si>
    <t>NA</t>
  </si>
  <si>
    <t>CCC available</t>
  </si>
  <si>
    <r>
      <t xml:space="preserve">EPA. 1999. </t>
    </r>
    <r>
      <rPr>
        <i/>
        <sz val="8"/>
        <rFont val="Arial"/>
        <family val="2"/>
      </rPr>
      <t>National Recommended Water Quality Criteria-Correction</t>
    </r>
    <r>
      <rPr>
        <sz val="8"/>
        <rFont val="Arial"/>
        <family val="2"/>
      </rPr>
      <t>. EPA 822-Z-99-001</t>
    </r>
  </si>
  <si>
    <t>Median PAH phototox. Value</t>
  </si>
  <si>
    <t xml:space="preserve">Median of phototoxicity-based values used to develop GW-3 standards for PAHs. </t>
  </si>
  <si>
    <t>No data except US F&amp;W. Ordered from BPL.</t>
  </si>
  <si>
    <t>Daphnia magna</t>
  </si>
  <si>
    <t>Water Flea</t>
  </si>
  <si>
    <t>MOR</t>
  </si>
  <si>
    <t>flow-through</t>
  </si>
  <si>
    <r>
      <t xml:space="preserve">EPA. 1999. </t>
    </r>
    <r>
      <rPr>
        <i/>
        <sz val="8"/>
        <rFont val="Arial"/>
        <family val="2"/>
      </rPr>
      <t>National Recommended Water Quality Criteria-Correction</t>
    </r>
    <r>
      <rPr>
        <sz val="8"/>
        <rFont val="Arial"/>
        <family val="2"/>
      </rPr>
      <t xml:space="preserve">. EPA 822-Z-99-001.   The value was divided by 2 to account for the differences between the 1980 and 1985 guidelines. </t>
    </r>
  </si>
  <si>
    <t>Lepomis macrochirus</t>
  </si>
  <si>
    <t>Bluegill Sunfish</t>
  </si>
  <si>
    <t>24-96</t>
  </si>
  <si>
    <t>McCloskey, J. T. and J. T. Oris. 1991. Effect of water temperature and dissolved oxygen concentration on the photo-induced toxicity of anthracene to juvenile bluegill sunfish (Lepomis macrochirus). Aquatic Toxicol. 21:145-156.</t>
  </si>
  <si>
    <t>Gastrophryne carolinensis</t>
  </si>
  <si>
    <t>Eastern Narrow Mouth Toad</t>
  </si>
  <si>
    <t>static-renewal</t>
  </si>
  <si>
    <t>Birge, W. J. 1978. Aquatic toxicology of trace elements of coal and fly ash. In: J. H. Thorp and J. W. Gibbons (Eds.). Energy and Environmental Stress in Aquatic Systems, Selected Papers from a symposium held at Augusta, GA, Nov. 2-4, 1977. Dept. Energy Symposium Series 48, pp. 219-240. ISBN  0-87079-115-X.  Available as CONF-771114 from NTIS.</t>
  </si>
  <si>
    <t>Abiard, 1978 is unacceptable</t>
  </si>
  <si>
    <t>static</t>
  </si>
  <si>
    <t>LeBlanc, G.A. 1980. Acute toxicity of priority pollutants to water flea (Daphnia magna).  Bull. Environm. Contam. Toxicol. 24:684-691.     (A reference previously cited from Suter and Tsao 1996 reportedly provides a value for duckweed growth from a 96-hour static test: Wang, W. 1986. Toxicity tests of aquatic pollutants by using common duckweed. Environ. Pollut. Ser. B Chem. Phys. 11(1):1-14.)</t>
  </si>
  <si>
    <t xml:space="preserve">Identification of Surface Water Benchmarks </t>
  </si>
  <si>
    <t>Toxicity Test for Selected Benchmark</t>
  </si>
  <si>
    <t>References for Selected Benchmarks (Target Values)</t>
  </si>
  <si>
    <t>Used as GW-3 Target Values</t>
  </si>
  <si>
    <t xml:space="preserve">Lowest Chronic </t>
  </si>
  <si>
    <t xml:space="preserve">Value or Estimated </t>
  </si>
  <si>
    <t>Vapor Infiltration</t>
  </si>
  <si>
    <t>Alternative</t>
  </si>
  <si>
    <t>Chronic Value</t>
  </si>
  <si>
    <t>`</t>
  </si>
  <si>
    <t>Keller, 1993</t>
  </si>
  <si>
    <t>Anodonta imbecilic</t>
  </si>
  <si>
    <t>mussel</t>
  </si>
  <si>
    <t>48 hour</t>
  </si>
  <si>
    <t>Keller, A.E.  1993.  Acute toxicity of several pesticides, organic compounds, and a wastewater effluent to the freshwater mussel, Anodonta imbecilis, Ceriodaphnia dubia, and Pimphales promelas. Bulletin of environmental contamination and toxicology. 51: 696-702.</t>
  </si>
  <si>
    <t xml:space="preserve">Re-evaluate new (8/02) source.  Text discrepancies? </t>
  </si>
  <si>
    <t>EPA, 2001</t>
  </si>
  <si>
    <t>EPA 2001.  Update of AWQC for Cadmium.  EPA 822-R-01-001.</t>
  </si>
  <si>
    <t>All four values listed are based on a hardness of 25 mg/L.</t>
  </si>
  <si>
    <t>At 1120 mg/L mortality was 35%.  Estimated LC50 was actually lower (1050 mg/L).</t>
  </si>
  <si>
    <t>acute IC50/10</t>
  </si>
  <si>
    <t>Dan found references with lower values.  Ordered from EPA library 8/02.  Re-evaluate.</t>
  </si>
  <si>
    <t>At the highest concentration tested (0.73 mg/L) 50% mortality was observed. This concentration is also the solubility limit.</t>
  </si>
  <si>
    <t>Howe et al., 1994</t>
  </si>
  <si>
    <t>intermit. Flow</t>
  </si>
  <si>
    <t>Howe, G.E., L.L. Marking, T.D. Bills, M.A. Boogard, and F.L. Mayer, Jr.  1994.  Effects of water temperature on the toxicity of 4-nitrophenol and 2,4-dinitrophenol to developing rainbow trout (Oncorhynchus mykiss).  Environmental Toxicology and Chemistry, Vol. 13, pp 79-84. 1994.</t>
  </si>
  <si>
    <t>Median PAH phototox</t>
  </si>
  <si>
    <t>dilution</t>
  </si>
  <si>
    <t>Oncorhynchus gorbuscha</t>
  </si>
  <si>
    <t>Pink Salmon</t>
  </si>
  <si>
    <t>Moles, A. , S. D. Rice, and S. Korn. 1979.  Sensitivity of Alaskan freshwater and anadroumous fishes to Prudhoe Bay crude oil and benzene. Trans. Am. Fish. Soc. 108(4): 408-414.</t>
  </si>
  <si>
    <t>Note: the 171.3 ug/l entry for Marchini et al was actually 171.3 uM=13,380 ug/l</t>
  </si>
  <si>
    <t>Daphnia pulex</t>
  </si>
  <si>
    <t>Trucco, R. G. , F. R. Engelhardt and B. Stacey. 1983. Toxicity, accumulation and clearance of aromatic hydrocarbons in Daphnia pulex. Environ. Pollut. Ser. A Ecol. Biol. 31(3): 191-202.</t>
  </si>
  <si>
    <t>IMM</t>
  </si>
  <si>
    <r>
      <t xml:space="preserve">Wernersson, A. -S. and G. Dave. 1997. Phototoxicity identification by solid phase extraction and photoinduced toxicity to </t>
    </r>
    <r>
      <rPr>
        <i/>
        <sz val="8"/>
        <rFont val="Arial"/>
        <family val="2"/>
      </rPr>
      <t>Daphnia magna.</t>
    </r>
    <r>
      <rPr>
        <sz val="8"/>
        <rFont val="Arial"/>
        <family val="2"/>
      </rPr>
      <t xml:space="preserve"> Arch. Environ. Contam. Toxicol. 32:268-273.</t>
    </r>
  </si>
  <si>
    <t>Newsted, J. L. and J. P. Giesy. 1987. Predictive models for photoinduced acute toxicity of polycyclic aromatic hydrocarbons to Daphnia magna Strauss (Cladocera, Crustacea). Environ. Toxicol. Chem. 6(6):445-461.</t>
  </si>
  <si>
    <t>Kimball, G. 1978. The effects of lesser known metals and one organic to fathead minnows (Pimephales promelas) and Daphnia magna. Manuscript, Dept. Entomology, Fisheries and Wildlife, University of Minesota, Minneapolis, MN. 88 p.</t>
  </si>
  <si>
    <t>REP</t>
  </si>
  <si>
    <t>Gersich, F. M. , E. A. Bartlett, P.G. Murphy and D. P. Milazzo. 1989. Chronic toxicity of biphenyl to Daphnia magna Straus. Bull. Environ. Contam. Toxicol. 43(3):355-362.</t>
  </si>
  <si>
    <t>Bis(2-chloroethyl)ether value</t>
  </si>
  <si>
    <t>Used the value for bis(2-chloroethyl)ether</t>
  </si>
  <si>
    <t>No references found on AQUIRE 3-15-02</t>
  </si>
  <si>
    <t>Rhodes, J. E. , W. J. Adams, G. R. Biddinger, K. A. Robillard and J. W. Gorsuch. 1995. Chronic toxicity of 14 phthalate esters to Daphnia magna and rainbow trout (Oncorhynchus mykiss). Environ. Toxicol. Chem. 14(11): 1967-1976.</t>
  </si>
  <si>
    <t>Pleurodeles waltl</t>
  </si>
  <si>
    <t>newt</t>
  </si>
  <si>
    <t>GENOTOX</t>
  </si>
  <si>
    <t>Le Curieux, F., L. Gauthier, F. Erb, and D. Marzin 1995.  Use of the SOS chromotest, the Ames fluctuation test and the newt micronucleus test to study the genotoxicity of four trihalomethanes</t>
  </si>
  <si>
    <t>Buccafusco, R. J., Ells, S. J. and LeBlanc, G. A. 1981. Acute toxicity of priority pollutants to bluegill (Lepomis macrochirus). Bull. Environ. Contam. Toxicol. 26(4):446-452.</t>
  </si>
  <si>
    <t>Poecilia reticulata</t>
  </si>
  <si>
    <t>Guppy</t>
  </si>
  <si>
    <t>ITX</t>
  </si>
  <si>
    <t>PERCHLORATE</t>
  </si>
  <si>
    <t>Canton, J. H., R. C.C. Wegman, E. A. M. Mathijssen-Spiekman and J. Y. Wammes. 1980. Hydrobiological toxicological research with methylbromide. Rep. No. 105/80. Nat. Inst. Public Health and Environ. Hygiene 4 p. (Dutch).</t>
  </si>
  <si>
    <t>Orizias latipes</t>
  </si>
  <si>
    <t>medaka, red killifish</t>
  </si>
  <si>
    <r>
      <t>D</t>
    </r>
    <r>
      <rPr>
        <vertAlign val="subscript"/>
        <sz val="9"/>
        <rFont val="Arial"/>
        <family val="2"/>
      </rPr>
      <t>sw</t>
    </r>
  </si>
  <si>
    <r>
      <t>D</t>
    </r>
    <r>
      <rPr>
        <vertAlign val="subscript"/>
        <sz val="9"/>
        <rFont val="Arial"/>
        <family val="2"/>
      </rPr>
      <t>gw</t>
    </r>
  </si>
  <si>
    <t>Yoshioka, Y., Y. Ose, and T. Sato. 1986.  Correlation of the five test methods to assess chemical toxicity and relation to physical properties. Ecotoxicol. Environ. Safety 12(1): 15-21</t>
  </si>
  <si>
    <t>The results for Dugesia that were reported in this reference were more sensitive, but they were not used for this project because the authors noted that they do not correlate well with the results of other tests they evaluated.</t>
  </si>
  <si>
    <t>Lee, S. K., D. Freitag, C. Steinberg, A. Kettrup, and Y. H. Kim. 1993 Effects of dissolved humic materials on acute toxicity of some organic chemicals to aquatic organisms. Water Res. 27(2): 199-204</t>
  </si>
  <si>
    <t>Micropterus salmoides</t>
  </si>
  <si>
    <t>Largemouth Bass</t>
  </si>
  <si>
    <t xml:space="preserve">Birge, W.J., J. A. Black and D. M. Bruser. 1979. Toxicity of organic chemicals to embryo-larval stages of fish. EPA-560/11-79-007. U. S. EPA Ecological Research Series. 60 p. </t>
  </si>
  <si>
    <t>The concentration at which survival was statistically different from the control group was not indicated.  At 0.038 mg/L, survival was 60%, compared with 80% at the next lower test concentration.</t>
  </si>
  <si>
    <t>Black and Birge, 1982</t>
  </si>
  <si>
    <t>Pimphales promelas</t>
  </si>
  <si>
    <t>Fathead Minnow</t>
  </si>
  <si>
    <t>DEV/MOR</t>
  </si>
  <si>
    <t>missing</t>
  </si>
  <si>
    <t>Black, J.A. and W.J. Birge, 1982.  The aquatic toxicity of organic compounds to embryo-larval stages of fish and amphibians.  University of Kentucky Water Resources Research Institute Report No. 133.  Lexington KY.</t>
  </si>
  <si>
    <t>Exposure time = 5 days to hatch + 4 days posthatching.  Statistically significant differences in survival were not indicated.  At 970 ug/L, survival was 74%, compared with 88% at the next lowest test concentration.</t>
  </si>
  <si>
    <t>LeBlanc. G.A. 1980.  Acute toxicity of Water Flea (Daphnia magna). Bulletin of Environmental Contaminant Toxicology 23:684-691.</t>
  </si>
  <si>
    <t>Newsted, J. L. and J. P. Giesy. 1987. Predictive models for photoinduced acute toxicity of polycyclic aromatic hydrocarbons to Daphnia magna Strauss (Cladocera, Curstacea). Environ. Toxicol. Chem. 6(6):445-461.</t>
  </si>
  <si>
    <t>Cyprinus carpio</t>
  </si>
  <si>
    <t>Common/Mirror Carp</t>
  </si>
  <si>
    <t>72-120</t>
  </si>
  <si>
    <t>Mattice, J. S., S. C. Tsai, M. B. Burch and J.J. Beauchamp. 1981. Toxicity of trihalomethanes to common carp embryos. Trans. Am. Fish. Soc. 110(2): 261-269.</t>
  </si>
  <si>
    <t>IMMOB</t>
  </si>
  <si>
    <t>Calamari, D., S. Galassi, F. Setti and M. Vighi. 1983. Toxicity of selected chlorobenzenes to aquatic organisms. Chemosphere 12(2):253-262.</t>
  </si>
  <si>
    <t>GRO/REPRO</t>
  </si>
  <si>
    <t>Ahmad, N., D. Benoit, L. Brooke, D. Call, A. Carlson, D. DeFoe, J. Huot, A. Moriarity, J. Richter, P. Shubat, G. Veith and C. Wallbridge. 1984. Aquatic toxicity tests to characterize the hazard of volatile organic chemicals in water--A toxicity data summary--pts. 1 and 2. EPA 600/3-84-009. U. S. EPA, Duluth, MN. 103p.</t>
  </si>
  <si>
    <t>Jordanella floridae</t>
  </si>
  <si>
    <t>American Flagfish</t>
  </si>
  <si>
    <t>Smith, A. D., A. Bharath, C. Mallard, D. Orr, K. Smith, J. A. Sutton, J. Vukmanich, L. S. McCarty and G. W. Ozburn. 1991. The acute and chronic toxicity of ten chlorinated organic compounds to the American flagifsh (Jordanella floridae). Arch. Environ. Contam. Toxicol. 20(1):94-102.</t>
  </si>
  <si>
    <t>Fundulus heteroclitus</t>
  </si>
  <si>
    <t>Killifish</t>
  </si>
  <si>
    <t>Burton, D.T. and D.J.Fisher 1990.  Acute toxicity of cadmium, copper, zinc, ammonia, 3,3'-dichlorobenzidine, 2,6-dichloro-4-nitroaniline, methylene chloride, and 2,4,6-trichlorophenol  to juvenile grass shrimp and killifish.  Bulletin of Environmental Contamination and Toxicology 44:776-783.</t>
  </si>
  <si>
    <t>Chironomus tentans</t>
  </si>
  <si>
    <t>Midge</t>
  </si>
  <si>
    <t>Phipps, G. L. , V. R. Mattson, and G. T. Ankley. 1995.  Relative sensitivity of three freshwater benthic macroinvertebrates to ten contaminants. Arch. Environ. Contam. Toxicol. 28(3): 281-286.</t>
  </si>
  <si>
    <t>Hyalella azteca</t>
  </si>
  <si>
    <t>Amphipod</t>
  </si>
  <si>
    <r>
      <t xml:space="preserve">Hoke, R. A., G. T. Ankley, A. M. Cotter, T. Goldenstein, P. A. Kosian, G. L. Phipps, and F.M. Vandermeiden. 1994. Evaluation of equilibrium partitioning theory for predicting acute toxicity of field-collected sediments contaminated with DDT, DDE and DDD to the amphipod </t>
    </r>
    <r>
      <rPr>
        <i/>
        <sz val="8"/>
        <rFont val="Arial"/>
        <family val="2"/>
      </rPr>
      <t>Hyalella azteca</t>
    </r>
    <r>
      <rPr>
        <sz val="8"/>
        <rFont val="Arial"/>
        <family val="2"/>
      </rPr>
      <t>. Environ. Toxicol. Chem. 13:157-166.</t>
    </r>
  </si>
  <si>
    <t>Used the value for 1,2 dichloroethane from Black and Birge 1982.</t>
  </si>
  <si>
    <t>No references found on AQUIRE 3-15-02.  Test duration = 5.5 days to hatching and 4 days posthatching. At 990 ug/L, survival was 67%, compared with 88% at the next lower test concentration.</t>
  </si>
  <si>
    <t>Ambystoma gracile</t>
  </si>
  <si>
    <t>Lowest Cr value</t>
  </si>
  <si>
    <t>northwestern salamander</t>
  </si>
  <si>
    <t>not cited</t>
  </si>
  <si>
    <t>Dill, D. C., W. M. McCarty, H. C. Alexander and E. A. Bartlett. 1980. Toxicity of 1,1-dichloroethylene (vinylidene chloride) to aquatic organisms. EPA-600/3-80-057. U. S. EPA, Duluth, MN. 17p.</t>
  </si>
  <si>
    <t>Buccafusco, R.J., S.J. Ells and G.A.LeBlanc, 198. Acute toxicity of priority pollutants to bluegill (Lepomis macrochirus) Bulletin of Environmental Contamination Toxicology. 26:446-452.</t>
  </si>
  <si>
    <t xml:space="preserve">No references found on AQUIRE </t>
  </si>
  <si>
    <r>
      <t>LeBlanc, G. A. 1980. Acute toxicity of priority pollutants to water flea (</t>
    </r>
    <r>
      <rPr>
        <i/>
        <sz val="8"/>
        <rFont val="Arial"/>
        <family val="2"/>
      </rPr>
      <t>Daphnia magna</t>
    </r>
    <r>
      <rPr>
        <sz val="8"/>
        <rFont val="Arial"/>
        <family val="2"/>
      </rPr>
      <t>). Bull. Environ. Contam. Toxicol. 24(5):684-691.</t>
    </r>
  </si>
  <si>
    <t>Birge et al., 1980</t>
  </si>
  <si>
    <t>Rana catesbeiana</t>
  </si>
  <si>
    <t>Bullfrog</t>
  </si>
  <si>
    <t xml:space="preserve">Birge, W.J., J.A. Black and R.A.Kuehne.  1980.  Effects of organic compounds on amphibian reproduction.  University of Kentucky Water Resources Intitute Research Repor No. 121.  </t>
  </si>
  <si>
    <t>Oncorhynchus mykiss</t>
  </si>
  <si>
    <t>Rainbow Trout</t>
  </si>
  <si>
    <t>Pimephales promelas</t>
  </si>
  <si>
    <r>
      <t xml:space="preserve">Benoit, D. A., F. A. Puglisi and D. L. Olson. 1982. A fathead minnow </t>
    </r>
    <r>
      <rPr>
        <i/>
        <sz val="8"/>
        <rFont val="Arial"/>
        <family val="2"/>
      </rPr>
      <t>Pimephales promelas</t>
    </r>
    <r>
      <rPr>
        <sz val="8"/>
        <rFont val="Arial"/>
        <family val="2"/>
      </rPr>
      <t xml:space="preserve"> early life stage toxicity test method evaluation and exposure to four organic chemicals. Environ. Pollution, Series A, Ecological and Biological 28(3): 189-197.</t>
    </r>
  </si>
  <si>
    <t>Johnson, W. W. and M. T. Finley. 1980. Handbook of acute toxicity of chemicals to fish and aquatic invertebrates. Resource Publ. 137, Fish Wildl. Serv., U. S. D. I., Washington, DC. 98 p.</t>
  </si>
  <si>
    <t>Gymnodinium breve</t>
  </si>
  <si>
    <t>Dinoflagellate</t>
  </si>
  <si>
    <t>GRO</t>
  </si>
  <si>
    <t>Wilson, W. B., C. S. Giam, T. E. Goodwin, A. Aldrich, V. Carpenter and Y. C. Hrung. 1978. The toxicity of phthalates to the marine dinoflagellate Gymnodinium breve. Bull. Environ. Contam. Toxicol. 20: 149-154.</t>
  </si>
  <si>
    <t>Rhodes, J. E., W. J. Adams, G. R. Biddinger, K. A. Robillard and J. W. Gorsuch. 1995. Chronic toxicity of 14 phthalate esters to Daphnia magna and rainbow trout (Oncorhynchus mykiss). Environ. Toxicol. Chem. 14(11): 1967-1976.</t>
  </si>
  <si>
    <t>Holcombe et al., 1982</t>
  </si>
  <si>
    <t>Holcombe, G.W., G.L.Phipps, J.T.Fiandt.   1982.  Effects of phenol, 2,4-dimethylphenol, 2,4-dichlorophenol, and pentachlorophenol on embryo, larval and early-juvenile fathead minnows (Pimephales promelas).  Arch. Environm. Contam. Toxicol.  11:73-78.</t>
  </si>
  <si>
    <t>Kuhn et al., 1989</t>
  </si>
  <si>
    <t xml:space="preserve">Kuhn, R., M. Pattard, K.D.Pernak, and A. Winter.   1989   Results of the harmful effects of water pollutants to Daphnia magna in the 21-day reproduction test.  Water Res.Vol. 23, No.4, pp501-510. </t>
  </si>
  <si>
    <t>Suter and Tsao also reference Wilson et al. 1978, for a value of 697 ug/L based on dinoflagellate growth measured in a 96-hour test.   Previously identified reference has been misplaced.</t>
  </si>
  <si>
    <t>(rounded)</t>
  </si>
  <si>
    <t>Previously identified reference was based on algae growth.  Another source was chosen to be consistent with the basis of other chemicals.</t>
  </si>
  <si>
    <t>Geiger et al., 1990</t>
  </si>
  <si>
    <t>not spec.</t>
  </si>
  <si>
    <t>Geiger, D.L., L.T. Brooke, and D.J. Call, eds.. 1990.  Acute toxicities of organic chemicals to fathead minnows (Pimephales promelas), Volume V. Center for Lake Superior Environmental Studies, University of Wisconsin-Superior.</t>
  </si>
  <si>
    <t>AQUIRE shows a lower value from Bringmann and Kuhn, but the paper is in German.</t>
  </si>
  <si>
    <t>Vigano,L.  1993.  Reproductive strategy of Daphnia magna and toxicity of organic compounds. Water Research 27(5) 903-909</t>
  </si>
  <si>
    <t>Holcombe, et al., 1995</t>
  </si>
  <si>
    <t>Oryzias latipes</t>
  </si>
  <si>
    <t>Japanese Medaka</t>
  </si>
  <si>
    <t>Holcombe, GW., D.A.Benoit, D.A. Hammermeister, E.N. Leonard, and R.D.Johnson.  1995.  Acute and long-term effects of nine chemicals on the Japanesse Medaka.  Arch. Environ. Contam.Tox.  28(3)287-297</t>
  </si>
  <si>
    <t>Median PAH phototox. value</t>
  </si>
  <si>
    <t>Daphnica magna</t>
  </si>
  <si>
    <t>SUR</t>
  </si>
  <si>
    <t>Bentley, R.E., D.C. Suprenant, S.R.Petrocelli.  1984.  Determination of the toxicity to aqualtic organisms of HMX and related wastewater constituents: Part 3, Toxicity of HMX, TAX, and Sex to aquatic organisms.  Final report to the U.S. Army Medical Research and Development Command, Fort Detrick, MD</t>
  </si>
  <si>
    <t>The value used is the solubility limit for this compound.  The highest nominal conc. Tested was 15 mg/L, above the solubility limit.  Toxicity was not obseved at any concentration.</t>
  </si>
  <si>
    <t>No references found on AQUIRE 3-15-02.</t>
  </si>
  <si>
    <t>EPA. 1999. National Recommended Water Quality Criteria-Correction. EPA 822-Z-99-001</t>
  </si>
  <si>
    <t>Armstrong et al., 1976</t>
  </si>
  <si>
    <t>Cancer majister</t>
  </si>
  <si>
    <t>Dungeness Crab</t>
  </si>
  <si>
    <t>Armstrong, D.A., D.V. Buchanan, M.H.Mallon, R.S. Caldwell, and R.E. Milleman.  1976.  Toxicity of the insecticide methoxychlor to the Dungeness crab Cancer magister.  Marine Biology 38(3) 239-252</t>
  </si>
  <si>
    <t>Price et al., 1974</t>
  </si>
  <si>
    <t>Artemia salina</t>
  </si>
  <si>
    <t>Brine Shrimp</t>
  </si>
  <si>
    <t>Price, K. S., Waggy, G. T. and R. A. Conway. 1974.  Brine shrimp bioassay and seawater BOD of petrochemicals. J. Water Pollut. Control Fed. 46(1): 63-77.</t>
  </si>
  <si>
    <r>
      <t xml:space="preserve">Kuhn, R. , M. Pattard, K.. Pernak, and A. Winter. 1989. Results of the harmful effects of water pollutants to </t>
    </r>
    <r>
      <rPr>
        <i/>
        <sz val="8"/>
        <rFont val="Arial"/>
        <family val="2"/>
      </rPr>
      <t>Daphnia magna</t>
    </r>
    <r>
      <rPr>
        <sz val="8"/>
        <rFont val="Arial"/>
        <family val="2"/>
      </rPr>
      <t xml:space="preserve"> in the 21 day reproduction test. Water Res. 23(4):501-510</t>
    </r>
  </si>
  <si>
    <t>The LOEC is estimated as the nominal NOEC x 2, and the reported 2:1 dilution ratio.</t>
  </si>
  <si>
    <t>Mercury value</t>
  </si>
  <si>
    <t>Look for a better source?</t>
  </si>
  <si>
    <t>Wong, D.C.L., W.R. Arnold, G.a.Rausina, E.R. Mancini, and A. Steen.  2001.  Development of a freshwater aquatic toxicity database for ambient water quality criteria.  Environmental Toxicology and Chemistry, Vol 20, No. 5,pp 1125-1132.</t>
  </si>
  <si>
    <t>Anderson, et al., 1974</t>
  </si>
  <si>
    <t>Penaeus aztecus</t>
  </si>
  <si>
    <t>Brown shrimp</t>
  </si>
  <si>
    <t>Anderson, J.W., J.M. Neff, B.A.Cox, H.E.Tatem and G.M Hightower.  1974.  The effects of oil on estuarine animals:toxicity, uptake, depuration, and respiration.  In:  F.J&gt;vernberg and W.B.Vernberg (eds.).  Pollution and Physiology of Marine Organisms.  Academic Press, New York. Pp. 285-310.</t>
  </si>
  <si>
    <t>Alpha</t>
  </si>
  <si>
    <t>Black et al., 1983</t>
  </si>
  <si>
    <t>Salmo gairdneri</t>
  </si>
  <si>
    <t>Black, J. A., W. J. Birge, A.G. Westerman and P.C. Francis. 1983. Comparative aquatic toxicology of aromatic hydrocarbons. Fundamental and Applied Toxicol. 3(9/10): 353-358.</t>
  </si>
  <si>
    <t>Hexane as surrogate</t>
  </si>
  <si>
    <t>Decane as surrogate</t>
  </si>
  <si>
    <t xml:space="preserve">LeBlanc, G.A..  1980.  Acute toxicity of priority pollutants to water flea (Daphnia magna).  Bull. Environ. Contam. Toxicol.  24: 684-691.  </t>
  </si>
  <si>
    <t>Cyclododecane as surrogate</t>
  </si>
  <si>
    <t>Passino, D.R.M. and S.B.Smith.  1987.  Acute bioassays and hazard evaluation of representative contaiminants detected in Great Lakes fish.  Environmental Toxicology and Chemistry.  6(11):901-907.</t>
  </si>
  <si>
    <t>Goleman et al., 2002</t>
  </si>
  <si>
    <t>Black, J.A., W.J. Birge, A.G. Westerman, and P.C. Francis. 1983.  Comparative aquatic toxicology of aromatic hydrocarbons.  Fundamental and Applied Toxicology, 3:353-358 (1983).</t>
  </si>
  <si>
    <t>PAHs as surrogate</t>
  </si>
  <si>
    <t>not retained</t>
  </si>
  <si>
    <t>Statistically significant differences were not noted.  At 38 ug/L, survival at 4 days posthatching was 30%, compared to 80% at the next lower test concentration.</t>
  </si>
  <si>
    <t>DVP</t>
  </si>
  <si>
    <t>Birge, W. J., J. A. Black and R. A. Kuehne. 1980. Effects of organic compounds on amphibian reproduction. Report No. 121. Water Resource Research Institute, Univ. Kentucky, Lexington, KY. 39 p..</t>
  </si>
  <si>
    <t>Exposure time is 4 days to hatch plus 4 days post-hatch.  The LOEC cited from Birge is the concentration at which survival was 61%, down from 79% at the next lower test concentration.  Statistically significant difference was not noted for any results.   AQUIRE printout from 1-9-01 is missing.</t>
  </si>
  <si>
    <t xml:space="preserve">CCC (FW) </t>
  </si>
  <si>
    <t>Mysidopsis bahia</t>
  </si>
  <si>
    <t>mysid shrimp</t>
  </si>
  <si>
    <t>Pelletier, M.C., R.M. Burgess, K.T.Ho,A.Kuhn, R.A.McKinney, and S.A. Ryba.  1997.  Phototoxicity of individual polycyclic aromatic hydrocarbons and petroleum to marine invertebrate larvai and juveniles.  Environmental Toxicology and Chemistry. 16(10):2190-2199.</t>
  </si>
  <si>
    <t xml:space="preserve">Burton, D.T., S.D.Turley and G.T. Peters.1994.  The acute and chronic toxicity of hexahydro-1,3,5-trinitro-1,3,5-triazine (RDX) to the fathead minnow (Pimphales promelas.  Chemosphere 29(3):567-579. </t>
  </si>
  <si>
    <t>Oncorhynchus mikiss</t>
  </si>
  <si>
    <t>Tatem, HE, BA Cox and JW Anderson.  1978</t>
  </si>
  <si>
    <t>Palaemonetes pugio</t>
  </si>
  <si>
    <t>Trimethylbenzenes as surrogate</t>
  </si>
  <si>
    <t xml:space="preserve">grass shrimp </t>
  </si>
  <si>
    <t>Tatem, HE, BA Cox and JW Anderson.  1978.  The toxicity of oils and petroleum hydrocarbons to estuarine crustaceans.  Estuarine and Coastal Marine Science (1978) 6, 365-373.</t>
  </si>
  <si>
    <t>Mean PAH tox</t>
  </si>
  <si>
    <t>The mean for individual PAHs was used.</t>
  </si>
  <si>
    <t xml:space="preserve">Quershi, A.A., K.W.Flood, S.R. Thompson, S.M. Janhurst, C.S. Inniss, and D.A. Rokosh.  1982.  Comparison of a luminescent bacterial test with other bioassays for determining toxicity of pure compounds and complex effluents.  In: J.G. Pearson, R.G.Forster, and W.E. Bishop (Eds.), Aquatic Toxicology and Hazard Assessment, 5th conference, ASTM STP 766, Philadelphia, PA.  pp. 179-195. </t>
  </si>
  <si>
    <t>Mehrle, P. M., D. R. Buckler, E. E. Little, L. M. Smith, J. D. Petty, P.H. Peterman, D, L. Stalling, et al. 1988. Toxicity and bioconcentration of 2,3,7,8-tetrachlorodibenzodioxin and 2,3,7,8-tetrachlorodibenzofuran in rainbow trout. Environmental Toxicology and Chemistry Vol. 7, pp 76-62.</t>
  </si>
  <si>
    <t>Buccafusco, R.J. , S.j. Ells, and G.A.LeBlanc.  1981.  Acute toxicity of priority pollutants to bluegill (Lepomis macrochirus).  Bulletin of Environmental Contamination and Toxicology.  26:446-452.</t>
  </si>
  <si>
    <t>Ahmad, N., D. Benoit, L. Brooke, D. Call, A. Carlson, D. DeFoe, J. Huot, A. Moriarity, J. Richter, P. Shubat, G. Veith and C. Wallbridge. 1984. Aquatic toxicity tests to characterize the hazard of volatile organic chemicals in water--A toxicity data summa</t>
  </si>
  <si>
    <t>Narrow-mouthed toad</t>
  </si>
  <si>
    <t>Birge, W.J., J. A. Black and A. G. Westerman. 1979. Evaluation of aquatic pollutants using fish and amphibian eggs as bioassay organisms. In: S. W. Nielsen, G. Migaki and D. G. Scarpelli (Eds.), Symp. Animals Monitors Environ. Pollut., 1977, Storrs, CT 12:108-118.</t>
  </si>
  <si>
    <t>Test was conducted to 4 days posthatching, but the paper does not specify time to hatching.  It was assumed to be at least three days, so the test was considered chronic (7 days or more) for the purposes of this project.</t>
  </si>
  <si>
    <t>Oncorhinchus kisutch</t>
  </si>
  <si>
    <t>Coho Salmon</t>
  </si>
  <si>
    <t>BEH</t>
  </si>
  <si>
    <t>Maynard, D. J. and D. D. Weber. 1981. Avoidance reactions of juvenile coho salmon (Oncorhynchus kisutch) to monocyclic aromatics. Can. J. Fish. Aquatic Sci. 3(6): 830-836.</t>
  </si>
  <si>
    <t>Calmari,et al.</t>
  </si>
  <si>
    <t xml:space="preserve">acute EC10/10 </t>
  </si>
  <si>
    <t>MCP Toxicity.xlsx</t>
  </si>
  <si>
    <t>MCP GW2 alpha.xlsx</t>
  </si>
  <si>
    <t>83-32-9</t>
  </si>
  <si>
    <t>208-96-8</t>
  </si>
  <si>
    <t>67-64-1</t>
  </si>
  <si>
    <t>309-00-2</t>
  </si>
  <si>
    <t>120-12-7</t>
  </si>
  <si>
    <t>7440-36-0</t>
  </si>
  <si>
    <t>7440-38-2</t>
  </si>
  <si>
    <t>7440-39-3</t>
  </si>
  <si>
    <t>71-43-2</t>
  </si>
  <si>
    <t>56-55-3</t>
  </si>
  <si>
    <t>50-32-8</t>
  </si>
  <si>
    <t>205-99-2</t>
  </si>
  <si>
    <t>191-24-2</t>
  </si>
  <si>
    <t>207-08-9</t>
  </si>
  <si>
    <t>7440-41-7</t>
  </si>
  <si>
    <t xml:space="preserve">92-52-4 </t>
  </si>
  <si>
    <t>111-44-4</t>
  </si>
  <si>
    <t>117-81-7</t>
  </si>
  <si>
    <t>75-27-4</t>
  </si>
  <si>
    <t>75-25-2</t>
  </si>
  <si>
    <t>74-83-9</t>
  </si>
  <si>
    <t>7440-43-9</t>
  </si>
  <si>
    <t>56-23-5</t>
  </si>
  <si>
    <t>12789-03-6</t>
  </si>
  <si>
    <t>106-47-8</t>
  </si>
  <si>
    <t>108-90-7</t>
  </si>
  <si>
    <t>67-66-3</t>
  </si>
  <si>
    <t>95-57-8</t>
  </si>
  <si>
    <t>7440-47-3</t>
  </si>
  <si>
    <t>218-01-9</t>
  </si>
  <si>
    <t>57-12-5</t>
  </si>
  <si>
    <t xml:space="preserve">53-70-3 </t>
  </si>
  <si>
    <t>124-48-1</t>
  </si>
  <si>
    <t>95-50-1</t>
  </si>
  <si>
    <t>541-73-1</t>
  </si>
  <si>
    <t>106-46-7</t>
  </si>
  <si>
    <t>91-94-1</t>
  </si>
  <si>
    <t>72-54-8</t>
  </si>
  <si>
    <t>72-55-9</t>
  </si>
  <si>
    <t>50-29-3</t>
  </si>
  <si>
    <t xml:space="preserve">75-34-3 </t>
  </si>
  <si>
    <t>107-06-2</t>
  </si>
  <si>
    <t>75-35-4</t>
  </si>
  <si>
    <t>156-59-2</t>
  </si>
  <si>
    <t>156-60-5</t>
  </si>
  <si>
    <t>75-09-2</t>
  </si>
  <si>
    <t>120-83-2</t>
  </si>
  <si>
    <t>78-87-5</t>
  </si>
  <si>
    <t>542-75-6</t>
  </si>
  <si>
    <t>60-57-1</t>
  </si>
  <si>
    <t>84-66-2</t>
  </si>
  <si>
    <t>131-11-3</t>
  </si>
  <si>
    <t>105-67-9</t>
  </si>
  <si>
    <t>51-28-5</t>
  </si>
  <si>
    <t>121-14-2</t>
  </si>
  <si>
    <t>123-91-1</t>
  </si>
  <si>
    <t>115-29-7</t>
  </si>
  <si>
    <t>72-20-8</t>
  </si>
  <si>
    <t>100-41-4</t>
  </si>
  <si>
    <t>106-93-4</t>
  </si>
  <si>
    <t>206-44-0</t>
  </si>
  <si>
    <t>86-73-7</t>
  </si>
  <si>
    <t>76-44-8</t>
  </si>
  <si>
    <t>1024-57-3</t>
  </si>
  <si>
    <t>118-74-1</t>
  </si>
  <si>
    <t>87-68-3</t>
  </si>
  <si>
    <t>58-89-9</t>
  </si>
  <si>
    <t>67-72-1</t>
  </si>
  <si>
    <t>2691-41-0</t>
  </si>
  <si>
    <t>193-39-5</t>
  </si>
  <si>
    <t>7439-92-1</t>
  </si>
  <si>
    <t>7439-97-6</t>
  </si>
  <si>
    <t>72-43-5</t>
  </si>
  <si>
    <t>78-93-3</t>
  </si>
  <si>
    <t>108-10-1</t>
  </si>
  <si>
    <t>1634-04-4</t>
  </si>
  <si>
    <t>91-57-6</t>
  </si>
  <si>
    <t>91-20-3</t>
  </si>
  <si>
    <t>7440-02-0</t>
  </si>
  <si>
    <t>87-86-5</t>
  </si>
  <si>
    <t>85-01-8</t>
  </si>
  <si>
    <t>108-95-2</t>
  </si>
  <si>
    <t>1336-36-3</t>
  </si>
  <si>
    <t>129-00-0</t>
  </si>
  <si>
    <t>121-82-4</t>
  </si>
  <si>
    <t>7782-49-2</t>
  </si>
  <si>
    <t>7440-22-4</t>
  </si>
  <si>
    <t>100-42-5</t>
  </si>
  <si>
    <t>1746-01-6</t>
  </si>
  <si>
    <t>630-20-6</t>
  </si>
  <si>
    <t>79-34-5</t>
  </si>
  <si>
    <t>127-18-4</t>
  </si>
  <si>
    <t>7440-28-0</t>
  </si>
  <si>
    <t>108-88-3</t>
  </si>
  <si>
    <t>120-82-1</t>
  </si>
  <si>
    <t>71-55-6</t>
  </si>
  <si>
    <t xml:space="preserve">79-00-5 </t>
  </si>
  <si>
    <t>79-01-6</t>
  </si>
  <si>
    <t>95-95-4</t>
  </si>
  <si>
    <t>88-06-2</t>
  </si>
  <si>
    <t>7440-62-2</t>
  </si>
  <si>
    <t>75-01-4</t>
  </si>
  <si>
    <t>1330-20-7</t>
  </si>
  <si>
    <t>7440-66-6</t>
  </si>
  <si>
    <t>Lowest Risk/Odor</t>
  </si>
  <si>
    <t>50% TIAC</t>
  </si>
  <si>
    <t>75% TIAC</t>
  </si>
  <si>
    <t>90% TIAC</t>
  </si>
  <si>
    <t>ND</t>
  </si>
  <si>
    <t>Indoor Air Background Value</t>
  </si>
  <si>
    <t xml:space="preserve">Indoor Air Background </t>
  </si>
  <si>
    <t>EPA 1988 Indoor Air</t>
  </si>
  <si>
    <t>ELCR =</t>
  </si>
  <si>
    <t>(unitless)</t>
  </si>
  <si>
    <t>Meier et al, 2000</t>
  </si>
  <si>
    <t>chronic EC50</t>
  </si>
  <si>
    <t>Paratanytarsus parthenogeneticus</t>
  </si>
  <si>
    <t>midge</t>
  </si>
  <si>
    <t>DEV</t>
  </si>
  <si>
    <t>LeBlanc, G.A. 1980.  Acute toxicity of priority pollutants to water flea (Daphnia magna).  Bulletin of Environmental Contamination and Toxicology. 24: 684-691</t>
  </si>
  <si>
    <r>
      <t xml:space="preserve">Meier, P. G.; Choi, K.; and Sweet, L. 2000. Acute and chronic life cycle toxicity of acenaphthene and 2,4,6-trichloropheno to the midge </t>
    </r>
    <r>
      <rPr>
        <i/>
        <sz val="8"/>
        <rFont val="Arial"/>
        <family val="2"/>
      </rPr>
      <t>Paratanytarsus parthenogeneticus</t>
    </r>
    <r>
      <rPr>
        <sz val="8"/>
        <rFont val="Arial"/>
        <family val="2"/>
      </rPr>
      <t xml:space="preserve"> (Diptera: Chironomidae). Aquatic Toxicology 51: 31-44.</t>
    </r>
  </si>
  <si>
    <t>Professional Judgment</t>
  </si>
  <si>
    <t>http://www.mass.gov/dep/cleanup/laws/iatu.pdf</t>
  </si>
  <si>
    <t>All typical indoor air concencentrations (TIACs) from 2008 MassDEP Technical Update "Typical Indoor Air Concentrations" available at:</t>
  </si>
  <si>
    <t>PERFLUOROOCTANOIC ACID (PFOA)</t>
  </si>
  <si>
    <t>PERFLUOROHEPTANOIC ACID (PFHpA)</t>
  </si>
  <si>
    <t>PERFLUOROHEXANESULFONIC ACID (PFHxS)</t>
  </si>
  <si>
    <t>PERFLUORONONANOIC ACID (PFNA)</t>
  </si>
  <si>
    <t>Child, 0-7</t>
  </si>
  <si>
    <t>Older Child, 7-14</t>
  </si>
  <si>
    <t>Adult, 14-30</t>
  </si>
  <si>
    <t>Mutagen Cancer Risk</t>
  </si>
  <si>
    <t>Child 2&lt;6</t>
  </si>
  <si>
    <t>Child  0&lt;2</t>
  </si>
  <si>
    <t>Child 6&lt;16</t>
  </si>
  <si>
    <t>Child 16&lt;30</t>
  </si>
  <si>
    <t>Mutagenic Cancer Risk</t>
  </si>
  <si>
    <t>Older Child, 6&lt;16</t>
  </si>
  <si>
    <t>Adult, 16&lt;30</t>
  </si>
  <si>
    <t>Child, 0&lt;2</t>
  </si>
  <si>
    <t xml:space="preserve"> Child, 2&lt;6</t>
  </si>
  <si>
    <t>Mutagen Risk</t>
  </si>
  <si>
    <t>Child, 2&lt;6</t>
  </si>
  <si>
    <t>Child, 0&lt;7</t>
  </si>
  <si>
    <t>Older Child, 7&lt;14</t>
  </si>
  <si>
    <t>Adult, 14&lt;30</t>
  </si>
  <si>
    <t>375-85-9</t>
  </si>
  <si>
    <t>335-46-4</t>
  </si>
  <si>
    <t>335-67-1</t>
  </si>
  <si>
    <t>1763-23-1</t>
  </si>
  <si>
    <t>375-95-1</t>
  </si>
  <si>
    <t xml:space="preserve"> ADAF </t>
  </si>
  <si>
    <t>Total</t>
  </si>
  <si>
    <t>Lowest of</t>
  </si>
  <si>
    <t>Exposure by Age Group</t>
  </si>
  <si>
    <t>Minnesota Pollution Control Agency Surface Water Quality Criterion for Perfluorooctanoic Acid - https://www.pca.state.mn.us/sites/default/files/pfoa-report.pdf</t>
  </si>
  <si>
    <t>Minnesota Pollution Control Agency Surface Water Quality Criterion for Perfluorooctane Sulfonic Acid - https://www.pca.state.mn.us/sites/default/files/pfos-report.pdf</t>
  </si>
  <si>
    <t>Minnesota Pollution Control Agency Surface Water Quality Criterion for Perfluorooctanoic Acid - https://www.pca.state.mn.us/sites/default/files/pfoa-report.pd</t>
  </si>
  <si>
    <t>MN SW Qual Criterion</t>
  </si>
  <si>
    <t>MN Tier II</t>
  </si>
  <si>
    <t>MN Pollution Control Agency</t>
  </si>
  <si>
    <t>PERFLUOROOCTANESULFONIC ACID (PFOS)</t>
  </si>
  <si>
    <r>
      <t xml:space="preserve"> Risk-Based
 Indoor Air Level 
µg/m</t>
    </r>
    <r>
      <rPr>
        <b/>
        <vertAlign val="superscript"/>
        <sz val="10"/>
        <rFont val="Arial"/>
        <family val="2"/>
      </rPr>
      <t>3</t>
    </r>
  </si>
  <si>
    <t>Column G,</t>
  </si>
  <si>
    <t>Total Cancer and Mutagen Risk
Based Level
µg/L</t>
  </si>
  <si>
    <t>TOTAL Mutagen Risk
Based Level for all pathways
µg/L</t>
  </si>
  <si>
    <t>Vinyl Chloride</t>
  </si>
  <si>
    <t>Age 0-30</t>
  </si>
  <si>
    <t>Mutagen Risk Based Level µg/L</t>
  </si>
  <si>
    <t xml:space="preserve"> Total:</t>
  </si>
  <si>
    <t>Total:</t>
  </si>
  <si>
    <t>GW-1 VC &amp;TCE</t>
  </si>
  <si>
    <t>Exposure Factor
Mutagen Risk
EXPinh</t>
  </si>
  <si>
    <t>Mutagenicity Risk</t>
  </si>
  <si>
    <t>PER- AND POLYFLUORALKYL SUBSTANCES (PFAS)</t>
  </si>
  <si>
    <t>-</t>
  </si>
  <si>
    <t>Compare</t>
  </si>
  <si>
    <t>Cols G &amp; L</t>
  </si>
  <si>
    <t>GW-1 Inhale</t>
  </si>
  <si>
    <t>GW-1 Derm</t>
  </si>
  <si>
    <t>GW-2 Exp</t>
  </si>
  <si>
    <t>GW-2 IA Bkgrd</t>
  </si>
  <si>
    <t>GW-3 SW Target</t>
  </si>
  <si>
    <t>PERFLUORODECANOIC ACID (PFDA)</t>
  </si>
  <si>
    <t xml:space="preserve">NOTE: The Vinyl Chloride  GW-2 Standard is set at the PQL. The Trichloroethylene GW-2 Standard is set at the background indoor air value. </t>
  </si>
  <si>
    <t>Trichloroethylene Liver IUR:</t>
  </si>
  <si>
    <t>Trichloroethylene Kidney IUR:</t>
  </si>
  <si>
    <t>Age 0-2 (unitless)</t>
  </si>
  <si>
    <t>Age 2-6 (unitless)</t>
  </si>
  <si>
    <t>Age 6-16 (unitless)</t>
  </si>
  <si>
    <t>Age 16-30 
(unitless)</t>
  </si>
  <si>
    <t>Sum of Exposure (unitless)</t>
  </si>
  <si>
    <r>
      <t>IUR 
1(µg/m</t>
    </r>
    <r>
      <rPr>
        <b/>
        <vertAlign val="superscript"/>
        <sz val="10"/>
        <rFont val="Arial"/>
        <family val="2"/>
      </rPr>
      <t>3</t>
    </r>
    <r>
      <rPr>
        <b/>
        <sz val="10"/>
        <rFont val="Arial"/>
        <family val="2"/>
      </rPr>
      <t>)</t>
    </r>
  </si>
  <si>
    <r>
      <t>1/(µg/m</t>
    </r>
    <r>
      <rPr>
        <vertAlign val="superscript"/>
        <sz val="10"/>
        <rFont val="Arial"/>
        <family val="2"/>
      </rPr>
      <t>3</t>
    </r>
    <r>
      <rPr>
        <sz val="10"/>
        <rFont val="Arial"/>
        <family val="2"/>
      </rPr>
      <t>)</t>
    </r>
  </si>
  <si>
    <t>GW-1 Exp</t>
  </si>
  <si>
    <t>chemical-specific factors and Method 1 risk limits to calculate risk-based levels.</t>
  </si>
  <si>
    <t xml:space="preserve">NOTE: Both the Vinyl Chloride and Trichloroethylene GW-1 Standards are set at the MMCL, </t>
  </si>
  <si>
    <t>Liver Risk Factor L/µg</t>
  </si>
  <si>
    <t>Kidney Risk Factor 
L/µg</t>
  </si>
  <si>
    <t>TOTAL Liver Risk Factor 
L/µg</t>
  </si>
  <si>
    <t>TOTAL Kidney Risk Factor 
L/µg</t>
  </si>
  <si>
    <t>Kidney Risk Factor  
L/µg</t>
  </si>
  <si>
    <t>Liver Risk Factor  L/µg</t>
  </si>
  <si>
    <t>1/mg/kg-day</t>
  </si>
  <si>
    <t>GW-2 Inhalation Exposure Assumptions</t>
  </si>
  <si>
    <t>with</t>
  </si>
  <si>
    <t>Trichloroethylene GW-2 Risk Calculation</t>
  </si>
  <si>
    <t>Vinyl Chloride GW-2 Risk Calculation</t>
  </si>
  <si>
    <t>Trichloroethylene GW-1 Risk Calculations</t>
  </si>
  <si>
    <t>Vinyl Chloride GW-1 Risk Calculations</t>
  </si>
  <si>
    <t xml:space="preserve">Risk-Based </t>
  </si>
  <si>
    <r>
      <t>Indoor Air 
Level
µg/m</t>
    </r>
    <r>
      <rPr>
        <b/>
        <vertAlign val="superscript"/>
        <sz val="10"/>
        <rFont val="Arial"/>
        <family val="2"/>
      </rPr>
      <t>3</t>
    </r>
  </si>
  <si>
    <t>1/(µg/m3)</t>
  </si>
  <si>
    <t>µg/m3</t>
  </si>
  <si>
    <t>Nonmutagenic Cancer</t>
  </si>
  <si>
    <t>B and E</t>
  </si>
  <si>
    <t>t-event (Ds in hr)</t>
  </si>
  <si>
    <t>Mutagenic Cancer</t>
  </si>
  <si>
    <t>(Mutagenic and/or Nonmutagenic)</t>
  </si>
  <si>
    <t>Combined Exposure</t>
  </si>
  <si>
    <t>Existing Standard</t>
  </si>
  <si>
    <t>Risk-Based Exposure Point Concentration Levels</t>
  </si>
  <si>
    <t>Combined Cancer Exposure</t>
  </si>
  <si>
    <t>Standard, or Lowest Risk-Based,Odor Threshold</t>
  </si>
  <si>
    <t>LOWEST Risk, Ceiling Value</t>
  </si>
  <si>
    <t>HIGHEST: Column P, Bckgrnd, PQL</t>
  </si>
  <si>
    <r>
      <t>R</t>
    </r>
    <r>
      <rPr>
        <vertAlign val="subscript"/>
        <sz val="9"/>
        <rFont val="Arial"/>
        <family val="2"/>
      </rPr>
      <t>ae</t>
    </r>
  </si>
  <si>
    <t>Dermal Based Drinking Water Levels</t>
  </si>
  <si>
    <t>GW-2 TCE &amp; VC</t>
  </si>
  <si>
    <t>Calculation of the GW-1 Groundwater Standards for Drinking Water Exposures</t>
  </si>
  <si>
    <t>Exposure assumptions related to the use of groundwater as drinking water.  Used to calculate the GW-1 standards.</t>
  </si>
  <si>
    <t>Calculations based on the Foster &amp; Chrostowski Shower Model to evalaute the inhalation exposure associated with use of drinking water.</t>
  </si>
  <si>
    <t>Calculation of the GW-1 Groundwater Standards for mutagenic chemicals with atypical formulae.</t>
  </si>
  <si>
    <t>Calculation of GW-2 Groundwater Standards for exposure to indoor air from a groundwater source</t>
  </si>
  <si>
    <t xml:space="preserve">Exposure Assumptions related to the inhalation of indoor air Used to calculate the GW-2 standards. </t>
  </si>
  <si>
    <t>Calculation of the GW-2 Groundwater Standards for mutagenic chemicals with atypical formulae.</t>
  </si>
  <si>
    <t>Indoor Air Background Concentrations by Percentile for common volatile chemicals.</t>
  </si>
  <si>
    <t>Calculation of the GW-3 Groundwater Standards for the protection of surface water bodies receiving groundwater discharges</t>
  </si>
  <si>
    <t>List of surface water benchmark levels - including, but not limited to USEPA AWQC - which are the target level for GW-3 Standards.</t>
  </si>
  <si>
    <t>This workbook is linked to two other related spreadsheets.  This means that the calculations herein rely upon data present in the other workbooks.  Without the following files in the same directory, the values you  see in this workbook may not be up-to-date.</t>
  </si>
  <si>
    <t>Lowest Ecologically Based Criteria</t>
  </si>
  <si>
    <r>
      <t xml:space="preserve">GW </t>
    </r>
    <r>
      <rPr>
        <sz val="8"/>
        <rFont val="Wingdings"/>
        <charset val="2"/>
      </rPr>
      <t>è</t>
    </r>
    <r>
      <rPr>
        <sz val="9"/>
        <rFont val="Arial"/>
        <family val="2"/>
      </rPr>
      <t xml:space="preserve"> SW</t>
    </r>
  </si>
  <si>
    <r>
      <t>Ecological NAWQC</t>
    </r>
    <r>
      <rPr>
        <b/>
        <vertAlign val="superscript"/>
        <sz val="8"/>
        <rFont val="Arial"/>
        <family val="2"/>
      </rPr>
      <t>(1)</t>
    </r>
  </si>
  <si>
    <r>
      <t>Toxicity Value</t>
    </r>
    <r>
      <rPr>
        <b/>
        <vertAlign val="superscript"/>
        <sz val="8"/>
        <rFont val="Arial"/>
        <family val="2"/>
      </rPr>
      <t>(4)</t>
    </r>
  </si>
  <si>
    <r>
      <t>Chronic</t>
    </r>
    <r>
      <rPr>
        <b/>
        <vertAlign val="superscript"/>
        <sz val="8"/>
        <rFont val="Arial"/>
        <family val="2"/>
      </rPr>
      <t>(c)</t>
    </r>
  </si>
  <si>
    <r>
      <t>335-76</t>
    </r>
    <r>
      <rPr>
        <sz val="8"/>
        <color rgb="FF222222"/>
        <rFont val="Arial"/>
        <family val="2"/>
      </rPr>
      <t>-2</t>
    </r>
  </si>
  <si>
    <r>
      <t>1</t>
    </r>
    <r>
      <rPr>
        <sz val="8"/>
        <rFont val="Arial"/>
        <family val="2"/>
      </rPr>
      <t xml:space="preserve"> All values from EPA (1999) unless specified otherwise</t>
    </r>
  </si>
  <si>
    <r>
      <t>2</t>
    </r>
    <r>
      <rPr>
        <sz val="8"/>
        <rFont val="Arial"/>
        <family val="2"/>
      </rPr>
      <t xml:space="preserve"> All Tier II values from Suter and Tsao (1996) unless specified otherwise</t>
    </r>
  </si>
  <si>
    <r>
      <t>3</t>
    </r>
    <r>
      <rPr>
        <sz val="8"/>
        <rFont val="Arial"/>
        <family val="2"/>
      </rPr>
      <t xml:space="preserve"> Lowest chronic values from Suter and Tsao (1996) unless specified otherwise</t>
    </r>
  </si>
  <si>
    <r>
      <t>4</t>
    </r>
    <r>
      <rPr>
        <sz val="8"/>
        <rFont val="Arial"/>
        <family val="2"/>
      </rPr>
      <t xml:space="preserve"> All values from AQUIRE unless specified otherwise</t>
    </r>
  </si>
  <si>
    <r>
      <t xml:space="preserve">5 </t>
    </r>
    <r>
      <rPr>
        <sz val="8"/>
        <rFont val="Arial"/>
        <family val="2"/>
      </rPr>
      <t>Values from Talmadge (1998)</t>
    </r>
  </si>
  <si>
    <r>
      <t>6</t>
    </r>
    <r>
      <rPr>
        <sz val="8"/>
        <rFont val="Arial"/>
        <family val="2"/>
      </rPr>
      <t xml:space="preserve"> Values from Mancini, et al (1999)</t>
    </r>
  </si>
  <si>
    <r>
      <t>7</t>
    </r>
    <r>
      <rPr>
        <sz val="8"/>
        <rFont val="Arial"/>
        <family val="2"/>
      </rPr>
      <t xml:space="preserve"> Values from EPA (1996)</t>
    </r>
  </si>
  <si>
    <r>
      <t xml:space="preserve">8 </t>
    </r>
    <r>
      <rPr>
        <sz val="8"/>
        <rFont val="Arial"/>
        <family val="2"/>
      </rPr>
      <t>Values from Talmadge, et al (1999)</t>
    </r>
  </si>
  <si>
    <r>
      <t>(a)</t>
    </r>
    <r>
      <rPr>
        <sz val="8"/>
        <rFont val="Arial"/>
        <family val="2"/>
      </rPr>
      <t xml:space="preserve"> Criterion is dependent on hardness, calculated for 25 mg/L hardness, as CaCO</t>
    </r>
    <r>
      <rPr>
        <vertAlign val="subscript"/>
        <sz val="8"/>
        <rFont val="Arial"/>
        <family val="2"/>
      </rPr>
      <t>3</t>
    </r>
  </si>
  <si>
    <r>
      <t>(b)</t>
    </r>
    <r>
      <rPr>
        <sz val="8"/>
        <rFont val="Arial"/>
        <family val="2"/>
      </rPr>
      <t xml:space="preserve"> Criterion dependent on pH, value of 7.8 used</t>
    </r>
  </si>
  <si>
    <r>
      <t>(c)</t>
    </r>
    <r>
      <rPr>
        <sz val="8"/>
        <rFont val="Arial"/>
        <family val="2"/>
      </rPr>
      <t xml:space="preserve"> Acute values are divided by 10 to estimate chronic values</t>
    </r>
  </si>
  <si>
    <r>
      <t>Total Cancer Exposure 
1(µg/m</t>
    </r>
    <r>
      <rPr>
        <b/>
        <vertAlign val="superscript"/>
        <sz val="10"/>
        <rFont val="Arial"/>
        <family val="2"/>
      </rPr>
      <t>3)</t>
    </r>
  </si>
  <si>
    <r>
      <t>Kidney Exposure (Mutagen) 1(µg/m</t>
    </r>
    <r>
      <rPr>
        <b/>
        <vertAlign val="superscript"/>
        <sz val="10"/>
        <rFont val="Arial"/>
        <family val="2"/>
      </rPr>
      <t>3)</t>
    </r>
  </si>
  <si>
    <r>
      <t>Liver Exposure (Nonmutagen) 1(µg/m</t>
    </r>
    <r>
      <rPr>
        <b/>
        <vertAlign val="superscript"/>
        <sz val="10"/>
        <rFont val="Arial"/>
        <family val="2"/>
      </rPr>
      <t>3)</t>
    </r>
  </si>
  <si>
    <r>
      <t>H'</t>
    </r>
    <r>
      <rPr>
        <vertAlign val="subscript"/>
        <sz val="8"/>
        <color indexed="8"/>
        <rFont val="MS Sans Serif"/>
        <family val="2"/>
      </rPr>
      <t>TS</t>
    </r>
  </si>
  <si>
    <r>
      <t>µg/m</t>
    </r>
    <r>
      <rPr>
        <vertAlign val="superscript"/>
        <sz val="8"/>
        <rFont val="Arial"/>
        <family val="2"/>
      </rPr>
      <t>3</t>
    </r>
  </si>
  <si>
    <r>
      <t>L/m</t>
    </r>
    <r>
      <rPr>
        <vertAlign val="superscript"/>
        <sz val="8"/>
        <rFont val="Arial"/>
        <family val="2"/>
      </rPr>
      <t>3</t>
    </r>
  </si>
  <si>
    <t>Indoor Air Levels Risk-Based</t>
  </si>
  <si>
    <r>
      <t>(µg/m</t>
    </r>
    <r>
      <rPr>
        <b/>
        <vertAlign val="superscript"/>
        <sz val="9"/>
        <rFont val="Arial"/>
        <family val="2"/>
      </rPr>
      <t>3</t>
    </r>
    <r>
      <rPr>
        <b/>
        <sz val="9"/>
        <rFont val="Arial"/>
        <family val="2"/>
      </rPr>
      <t>)/(µg/l)</t>
    </r>
  </si>
  <si>
    <t xml:space="preserve"> (rounded)</t>
  </si>
  <si>
    <r>
      <t>µg/(m</t>
    </r>
    <r>
      <rPr>
        <vertAlign val="superscript"/>
        <sz val="8"/>
        <rFont val="Arial"/>
        <family val="2"/>
      </rPr>
      <t>3</t>
    </r>
    <r>
      <rPr>
        <sz val="8"/>
        <rFont val="Arial"/>
        <family val="2"/>
      </rPr>
      <t>-min)</t>
    </r>
  </si>
  <si>
    <r>
      <t>(µg/m</t>
    </r>
    <r>
      <rPr>
        <vertAlign val="superscript"/>
        <sz val="8"/>
        <rFont val="Arial"/>
        <family val="2"/>
      </rPr>
      <t>3</t>
    </r>
    <r>
      <rPr>
        <sz val="8"/>
        <rFont val="Arial"/>
        <family val="2"/>
      </rPr>
      <t>)/(µg/l)</t>
    </r>
  </si>
  <si>
    <t>noncancer</t>
  </si>
  <si>
    <t>cancer</t>
  </si>
  <si>
    <t>Mutagenic &amp;/or Nomutagenic Cancer</t>
  </si>
  <si>
    <t>Nonmutagenic Cancer Risk</t>
  </si>
  <si>
    <t>TOTAL Cancer (Mutagenic &amp;/or Nonmutagenic)</t>
  </si>
  <si>
    <r>
      <rPr>
        <b/>
        <sz val="9"/>
        <rFont val="Arial Narrow"/>
        <family val="2"/>
      </rPr>
      <t>μ</t>
    </r>
    <r>
      <rPr>
        <b/>
        <sz val="9"/>
        <rFont val="Arial"/>
        <family val="2"/>
      </rPr>
      <t>g/L</t>
    </r>
  </si>
  <si>
    <t>μg/L</t>
  </si>
  <si>
    <t>Mutagenic and/or Nonmutagenic Cancer</t>
  </si>
  <si>
    <t>Trichloroethylene Liver CSF (Nonmutagenic):</t>
  </si>
  <si>
    <t>Trichloroethylene Kidney CSF (Mutagenic):</t>
  </si>
  <si>
    <t>Trichloroethylene Liver IUF (Nonmutagenic):</t>
  </si>
  <si>
    <t>Trichloroethylene Kidney IUF (Mutagenic):</t>
  </si>
  <si>
    <t>TOTAL Cancer (Nonmutagen and Mutagen) Risk
Based Level for all pathways
µg/L</t>
  </si>
  <si>
    <t>Column R, Ceiling Value, Solubility</t>
  </si>
  <si>
    <t>Column S,</t>
  </si>
  <si>
    <t>Air Inhalation Factor</t>
  </si>
  <si>
    <r>
      <rPr>
        <b/>
        <sz val="10"/>
        <rFont val="Arial"/>
        <family val="2"/>
      </rPr>
      <t xml:space="preserve">Mutagen </t>
    </r>
    <r>
      <rPr>
        <sz val="10"/>
        <rFont val="Arial"/>
        <family val="2"/>
      </rPr>
      <t>Average Indoor</t>
    </r>
  </si>
  <si>
    <t>PETROLEUM HYDROCARBONS Aliphatics C5 to C8</t>
  </si>
  <si>
    <t>PETROLEUM HYDROCARBONS Aliphatics C9 to C12</t>
  </si>
  <si>
    <t>PETROLEUM HYDROCARBONS Aliphatics C9 to C18</t>
  </si>
  <si>
    <t>PETROLEUM HYDROCARBONS Aliphatics C19 to C36</t>
  </si>
  <si>
    <t>PETROLEUM HYDROCARBONS Aromatics C9 to C10</t>
  </si>
  <si>
    <t>PETROLEUM HYDROCARBONS Aromatics C11 to C22</t>
  </si>
  <si>
    <t>OIL OR HAZARDOUS MATERIAL (OHM)</t>
  </si>
  <si>
    <r>
      <t>DA</t>
    </r>
    <r>
      <rPr>
        <vertAlign val="subscript"/>
        <sz val="8"/>
        <rFont val="Arial"/>
        <family val="2"/>
      </rPr>
      <t>(0-2)</t>
    </r>
  </si>
  <si>
    <r>
      <t>DA</t>
    </r>
    <r>
      <rPr>
        <vertAlign val="subscript"/>
        <sz val="8"/>
        <rFont val="Arial"/>
        <family val="2"/>
      </rPr>
      <t>(2-6)</t>
    </r>
  </si>
  <si>
    <r>
      <t>DA</t>
    </r>
    <r>
      <rPr>
        <vertAlign val="subscript"/>
        <sz val="8"/>
        <rFont val="Arial"/>
        <family val="2"/>
      </rPr>
      <t>(6-16)</t>
    </r>
  </si>
  <si>
    <r>
      <t>DA</t>
    </r>
    <r>
      <rPr>
        <vertAlign val="subscript"/>
        <sz val="8"/>
        <rFont val="Arial"/>
        <family val="2"/>
      </rPr>
      <t>(16-31)</t>
    </r>
  </si>
  <si>
    <r>
      <t xml:space="preserve">Interim Calculations DA with FA Term (per </t>
    </r>
    <r>
      <rPr>
        <b/>
        <sz val="8"/>
        <rFont val="Arial Narrow"/>
        <family val="2"/>
      </rPr>
      <t>μ</t>
    </r>
    <r>
      <rPr>
        <b/>
        <sz val="8"/>
        <rFont val="Arial"/>
        <family val="2"/>
      </rPr>
      <t>g/L of OHM)</t>
    </r>
  </si>
  <si>
    <t>*See the Method 3 Section of the MassDEP 2023 MCP Guidance Document for equations.</t>
  </si>
  <si>
    <t>not the ADAF risk-based concentrations, which are provided for reference per calculations below.</t>
  </si>
  <si>
    <t xml:space="preserve">The ADAF risk-based concentrations are provided below only for reference. </t>
  </si>
  <si>
    <t>Azin Kavian</t>
  </si>
  <si>
    <t>100 Cambridge Street</t>
  </si>
  <si>
    <t>Boston, MA 02114  USA</t>
  </si>
  <si>
    <t>Email: azin.kavian@mass.gov</t>
  </si>
  <si>
    <t>NOTE:  This workbook contains many Notes attached to particular cells.  Notes can be seen by choosing "Show All Notes" from the  menu in the "Review" panel.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</si>
</sst>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64" formatCode="General_)"/>
    <numFmt numFmtId="165" formatCode="0.0E+00_)"/>
    <numFmt numFmtId="166" formatCode="0_)"/>
    <numFmt numFmtId="167" formatCode="0E+00_)"/>
    <numFmt numFmtId="168" formatCode="0.000"/>
    <numFmt numFmtId="169" formatCode="0.0"/>
    <numFmt numFmtId="170" formatCode="0.0E+00"/>
    <numFmt numFmtId="171" formatCode="0.E+00"/>
    <numFmt numFmtId="172" formatCode="0.000E+00"/>
    <numFmt numFmtId="173" formatCode="#,##0.0"/>
  </numFmts>
  <fonts count="60" x14ac:knownFonts="1">
    <font>
      <sz val="10"/>
      <name val="Courier"/>
    </font>
    <font>
      <sz val="10"/>
      <color theme="1"/>
      <name val="Arial Narrow"/>
      <family val="2"/>
    </font>
    <font>
      <b/>
      <sz val="10"/>
      <name val="Arial"/>
      <family val="2"/>
    </font>
    <font>
      <sz val="10"/>
      <name val="Arial"/>
      <family val="2"/>
    </font>
    <font>
      <b/>
      <sz val="10"/>
      <name val="Arial"/>
      <family val="2"/>
    </font>
    <font>
      <sz val="8"/>
      <name val="Arial"/>
      <family val="2"/>
    </font>
    <font>
      <b/>
      <sz val="12"/>
      <name val="Arial"/>
      <family val="2"/>
    </font>
    <font>
      <sz val="9"/>
      <name val="Arial"/>
      <family val="2"/>
    </font>
    <font>
      <sz val="11"/>
      <name val="Arial"/>
      <family val="2"/>
    </font>
    <font>
      <b/>
      <sz val="10"/>
      <color indexed="10"/>
      <name val="Arial"/>
      <family val="2"/>
    </font>
    <font>
      <sz val="8"/>
      <color indexed="81"/>
      <name val="Tahoma"/>
      <family val="2"/>
    </font>
    <font>
      <b/>
      <sz val="9"/>
      <name val="Arial"/>
      <family val="2"/>
    </font>
    <font>
      <b/>
      <sz val="11"/>
      <name val="Arial"/>
      <family val="2"/>
    </font>
    <font>
      <b/>
      <sz val="10"/>
      <color indexed="48"/>
      <name val="Arial"/>
      <family val="2"/>
    </font>
    <font>
      <b/>
      <sz val="8"/>
      <color indexed="81"/>
      <name val="Tahoma"/>
      <family val="2"/>
    </font>
    <font>
      <b/>
      <vertAlign val="superscript"/>
      <sz val="10"/>
      <name val="Arial"/>
      <family val="2"/>
    </font>
    <font>
      <vertAlign val="superscript"/>
      <sz val="10"/>
      <name val="Arial"/>
      <family val="2"/>
    </font>
    <font>
      <vertAlign val="subscript"/>
      <sz val="10"/>
      <name val="Arial"/>
      <family val="2"/>
    </font>
    <font>
      <sz val="12"/>
      <name val="Arial"/>
      <family val="2"/>
    </font>
    <font>
      <i/>
      <sz val="8"/>
      <name val="Arial"/>
      <family val="2"/>
    </font>
    <font>
      <u/>
      <sz val="10"/>
      <color indexed="12"/>
      <name val="Courier"/>
      <family val="3"/>
    </font>
    <font>
      <vertAlign val="subscript"/>
      <sz val="9"/>
      <name val="Arial"/>
      <family val="2"/>
    </font>
    <font>
      <u/>
      <sz val="10"/>
      <color indexed="12"/>
      <name val="Arial"/>
      <family val="2"/>
    </font>
    <font>
      <sz val="8"/>
      <name val="Times New Roman"/>
      <family val="1"/>
    </font>
    <font>
      <b/>
      <u/>
      <sz val="10"/>
      <color indexed="12"/>
      <name val="Arial"/>
      <family val="2"/>
    </font>
    <font>
      <sz val="9"/>
      <color indexed="81"/>
      <name val="Tahoma"/>
      <family val="2"/>
    </font>
    <font>
      <b/>
      <sz val="8"/>
      <name val="Arial"/>
      <family val="2"/>
    </font>
    <font>
      <sz val="10"/>
      <name val="Courier"/>
      <family val="3"/>
    </font>
    <font>
      <sz val="10"/>
      <name val="Calibri"/>
      <family val="2"/>
      <scheme val="minor"/>
    </font>
    <font>
      <b/>
      <sz val="9"/>
      <color indexed="81"/>
      <name val="Tahoma"/>
      <family val="2"/>
    </font>
    <font>
      <b/>
      <sz val="11"/>
      <color rgb="FFFF0000"/>
      <name val="Calibri"/>
      <family val="2"/>
      <scheme val="minor"/>
    </font>
    <font>
      <b/>
      <sz val="11"/>
      <color theme="1"/>
      <name val="Calibri"/>
      <family val="2"/>
      <scheme val="minor"/>
    </font>
    <font>
      <b/>
      <sz val="11"/>
      <name val="Calibri"/>
      <family val="2"/>
    </font>
    <font>
      <vertAlign val="subscript"/>
      <sz val="8"/>
      <name val="Arial"/>
      <family val="2"/>
    </font>
    <font>
      <b/>
      <sz val="8"/>
      <color rgb="FFFF0000"/>
      <name val="Arial"/>
      <family val="2"/>
    </font>
    <font>
      <b/>
      <sz val="9"/>
      <color rgb="FFC00000"/>
      <name val="Arial"/>
      <family val="2"/>
    </font>
    <font>
      <sz val="8"/>
      <name val="Wingdings"/>
      <charset val="2"/>
    </font>
    <font>
      <sz val="8"/>
      <name val="Courier"/>
      <family val="3"/>
    </font>
    <font>
      <b/>
      <vertAlign val="superscript"/>
      <sz val="8"/>
      <name val="Arial"/>
      <family val="2"/>
    </font>
    <font>
      <sz val="8"/>
      <color rgb="FF222222"/>
      <name val="Arial"/>
      <family val="2"/>
    </font>
    <font>
      <vertAlign val="superscript"/>
      <sz val="8"/>
      <name val="Arial"/>
      <family val="2"/>
    </font>
    <font>
      <b/>
      <sz val="11"/>
      <color rgb="FFC00000"/>
      <name val="Calibri"/>
      <family val="2"/>
      <scheme val="minor"/>
    </font>
    <font>
      <u/>
      <sz val="9"/>
      <color indexed="12"/>
      <name val="Arial"/>
      <family val="2"/>
    </font>
    <font>
      <u/>
      <sz val="8"/>
      <name val="Arial"/>
      <family val="2"/>
    </font>
    <font>
      <sz val="8"/>
      <color indexed="10"/>
      <name val="Arial"/>
      <family val="2"/>
    </font>
    <font>
      <vertAlign val="subscript"/>
      <sz val="8"/>
      <color indexed="8"/>
      <name val="MS Sans Serif"/>
      <family val="2"/>
    </font>
    <font>
      <b/>
      <u/>
      <sz val="8"/>
      <name val="Arial"/>
      <family val="2"/>
    </font>
    <font>
      <sz val="9"/>
      <color rgb="FFFF0000"/>
      <name val="Courier"/>
      <family val="3"/>
    </font>
    <font>
      <sz val="9"/>
      <name val="Courier"/>
      <family val="3"/>
    </font>
    <font>
      <b/>
      <sz val="9"/>
      <name val="Courier"/>
      <family val="3"/>
    </font>
    <font>
      <b/>
      <sz val="9"/>
      <name val="Calibri"/>
      <family val="2"/>
      <scheme val="minor"/>
    </font>
    <font>
      <sz val="9"/>
      <name val="Calibri"/>
      <family val="2"/>
      <scheme val="minor"/>
    </font>
    <font>
      <b/>
      <vertAlign val="superscript"/>
      <sz val="9"/>
      <name val="Arial"/>
      <family val="2"/>
    </font>
    <font>
      <sz val="8"/>
      <color theme="0" tint="-0.249977111117893"/>
      <name val="Arial"/>
      <family val="2"/>
    </font>
    <font>
      <sz val="8"/>
      <color theme="0" tint="-0.34998626667073579"/>
      <name val="Arial"/>
      <family val="2"/>
    </font>
    <font>
      <b/>
      <sz val="9"/>
      <name val="Arial Narrow"/>
      <family val="2"/>
    </font>
    <font>
      <u/>
      <sz val="10"/>
      <name val="Arial"/>
      <family val="2"/>
    </font>
    <font>
      <b/>
      <sz val="8"/>
      <name val="Arial Narrow"/>
      <family val="2"/>
    </font>
    <font>
      <b/>
      <sz val="9"/>
      <color rgb="FFFF0000"/>
      <name val="Arial"/>
      <family val="2"/>
    </font>
    <font>
      <b/>
      <i/>
      <sz val="8"/>
      <name val="Arial"/>
      <family val="2"/>
    </font>
  </fonts>
  <fills count="22">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9"/>
        <bgColor indexed="64"/>
      </patternFill>
    </fill>
    <fill>
      <patternFill patternType="solid">
        <fgColor indexed="8"/>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8" tint="0.59996337778862885"/>
        <bgColor indexed="64"/>
      </patternFill>
    </fill>
    <fill>
      <patternFill patternType="solid">
        <fgColor theme="6" tint="0.79998168889431442"/>
        <bgColor indexed="64"/>
      </patternFill>
    </fill>
    <fill>
      <patternFill patternType="solid">
        <fgColor theme="6" tint="0.59996337778862885"/>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0" tint="-0.24994659260841701"/>
        <bgColor indexed="64"/>
      </patternFill>
    </fill>
    <fill>
      <patternFill patternType="solid">
        <fgColor theme="5" tint="0.59999389629810485"/>
        <bgColor indexed="64"/>
      </patternFill>
    </fill>
  </fills>
  <borders count="266">
    <border>
      <left/>
      <right/>
      <top/>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ck">
        <color theme="1" tint="0.34998626667073579"/>
      </left>
      <right/>
      <top style="thick">
        <color theme="1" tint="0.34998626667073579"/>
      </top>
      <bottom/>
      <diagonal/>
    </border>
    <border>
      <left/>
      <right/>
      <top style="thick">
        <color theme="1" tint="0.34998626667073579"/>
      </top>
      <bottom/>
      <diagonal/>
    </border>
    <border>
      <left/>
      <right style="thick">
        <color theme="1" tint="0.34998626667073579"/>
      </right>
      <top style="thick">
        <color theme="1" tint="0.34998626667073579"/>
      </top>
      <bottom/>
      <diagonal/>
    </border>
    <border>
      <left style="thick">
        <color theme="1" tint="0.34998626667073579"/>
      </left>
      <right/>
      <top/>
      <bottom/>
      <diagonal/>
    </border>
    <border>
      <left/>
      <right style="thick">
        <color theme="1" tint="0.34998626667073579"/>
      </right>
      <top/>
      <bottom/>
      <diagonal/>
    </border>
    <border>
      <left style="thick">
        <color theme="1" tint="0.34998626667073579"/>
      </left>
      <right/>
      <top/>
      <bottom style="medium">
        <color indexed="64"/>
      </bottom>
      <diagonal/>
    </border>
    <border>
      <left style="thick">
        <color theme="1" tint="0.34998626667073579"/>
      </left>
      <right/>
      <top style="medium">
        <color indexed="64"/>
      </top>
      <bottom/>
      <diagonal/>
    </border>
    <border>
      <left/>
      <right style="thick">
        <color theme="1" tint="0.34998626667073579"/>
      </right>
      <top style="medium">
        <color indexed="64"/>
      </top>
      <bottom/>
      <diagonal/>
    </border>
    <border>
      <left style="thick">
        <color theme="1" tint="0.34998626667073579"/>
      </left>
      <right/>
      <top/>
      <bottom style="thick">
        <color theme="1" tint="0.34998626667073579"/>
      </bottom>
      <diagonal/>
    </border>
    <border>
      <left/>
      <right/>
      <top/>
      <bottom style="thick">
        <color theme="1" tint="0.34998626667073579"/>
      </bottom>
      <diagonal/>
    </border>
    <border>
      <left/>
      <right style="thick">
        <color theme="1" tint="0.34998626667073579"/>
      </right>
      <top/>
      <bottom style="thick">
        <color theme="1" tint="0.34998626667073579"/>
      </bottom>
      <diagonal/>
    </border>
    <border>
      <left/>
      <right style="medium">
        <color theme="0" tint="-0.34998626667073579"/>
      </right>
      <top style="thick">
        <color theme="1" tint="0.34998626667073579"/>
      </top>
      <bottom/>
      <diagonal/>
    </border>
    <border>
      <left/>
      <right style="medium">
        <color theme="0" tint="-0.34998626667073579"/>
      </right>
      <top/>
      <bottom/>
      <diagonal/>
    </border>
    <border>
      <left style="thick">
        <color theme="1" tint="0.34998626667073579"/>
      </left>
      <right style="medium">
        <color theme="0" tint="-0.34998626667073579"/>
      </right>
      <top/>
      <bottom style="medium">
        <color indexed="64"/>
      </bottom>
      <diagonal/>
    </border>
    <border>
      <left style="medium">
        <color theme="0" tint="-0.34998626667073579"/>
      </left>
      <right/>
      <top/>
      <bottom/>
      <diagonal/>
    </border>
    <border>
      <left style="medium">
        <color theme="0" tint="-0.34998626667073579"/>
      </left>
      <right/>
      <top style="thick">
        <color theme="1" tint="0.34998626667073579"/>
      </top>
      <bottom/>
      <diagonal/>
    </border>
    <border>
      <left style="thin">
        <color theme="0" tint="-0.34998626667073579"/>
      </left>
      <right/>
      <top style="thick">
        <color theme="1" tint="0.34998626667073579"/>
      </top>
      <bottom/>
      <diagonal/>
    </border>
    <border>
      <left style="thin">
        <color theme="0" tint="-0.34998626667073579"/>
      </left>
      <right/>
      <top/>
      <bottom/>
      <diagonal/>
    </border>
    <border>
      <left style="thin">
        <color theme="0" tint="-0.34998626667073579"/>
      </left>
      <right/>
      <top/>
      <bottom style="medium">
        <color indexed="64"/>
      </bottom>
      <diagonal/>
    </border>
    <border>
      <left/>
      <right style="medium">
        <color theme="0" tint="-0.34998626667073579"/>
      </right>
      <top style="medium">
        <color indexed="64"/>
      </top>
      <bottom/>
      <diagonal/>
    </border>
    <border>
      <left style="medium">
        <color theme="0" tint="-0.34998626667073579"/>
      </left>
      <right/>
      <top style="thin">
        <color theme="0" tint="-0.34998626667073579"/>
      </top>
      <bottom/>
      <diagonal/>
    </border>
    <border>
      <left/>
      <right style="medium">
        <color theme="0" tint="-0.34998626667073579"/>
      </right>
      <top style="thin">
        <color theme="0" tint="-0.34998626667073579"/>
      </top>
      <bottom/>
      <diagonal/>
    </border>
    <border>
      <left/>
      <right/>
      <top style="thin">
        <color theme="0" tint="-0.34998626667073579"/>
      </top>
      <bottom/>
      <diagonal/>
    </border>
    <border>
      <left style="thick">
        <color theme="1" tint="0.34998626667073579"/>
      </left>
      <right style="medium">
        <color theme="0" tint="-0.34998626667073579"/>
      </right>
      <top style="thin">
        <color theme="0" tint="-0.34998626667073579"/>
      </top>
      <bottom/>
      <diagonal/>
    </border>
    <border>
      <left style="thin">
        <color theme="0" tint="-0.34998626667073579"/>
      </left>
      <right style="thin">
        <color theme="0" tint="-0.34998626667073579"/>
      </right>
      <top style="thick">
        <color theme="1" tint="0.34998626667073579"/>
      </top>
      <bottom/>
      <diagonal/>
    </border>
    <border>
      <left style="thin">
        <color theme="0" tint="-0.34998626667073579"/>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medium">
        <color theme="0" tint="-0.34998626667073579"/>
      </left>
      <right/>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top/>
      <bottom style="thin">
        <color theme="0" tint="-0.34998626667073579"/>
      </bottom>
      <diagonal/>
    </border>
    <border>
      <left/>
      <right style="thin">
        <color theme="0" tint="-0.34998626667073579"/>
      </right>
      <top style="thick">
        <color theme="1" tint="0.34998626667073579"/>
      </top>
      <bottom/>
      <diagonal/>
    </border>
    <border>
      <left style="medium">
        <color theme="0" tint="-0.34998626667073579"/>
      </left>
      <right/>
      <top/>
      <bottom style="medium">
        <color indexed="64"/>
      </bottom>
      <diagonal/>
    </border>
    <border>
      <left/>
      <right style="thin">
        <color theme="0" tint="-0.34998626667073579"/>
      </right>
      <top/>
      <bottom style="medium">
        <color indexed="64"/>
      </bottom>
      <diagonal/>
    </border>
    <border>
      <left/>
      <right style="medium">
        <color theme="0" tint="-0.34998626667073579"/>
      </right>
      <top/>
      <bottom style="thin">
        <color theme="0" tint="-0.34998626667073579"/>
      </bottom>
      <diagonal/>
    </border>
    <border>
      <left/>
      <right style="thick">
        <color theme="1" tint="0.34998626667073579"/>
      </right>
      <top/>
      <bottom style="medium">
        <color indexed="64"/>
      </bottom>
      <diagonal/>
    </border>
    <border>
      <left/>
      <right style="medium">
        <color theme="0" tint="-0.34998626667073579"/>
      </right>
      <top/>
      <bottom style="medium">
        <color indexed="64"/>
      </bottom>
      <diagonal/>
    </border>
    <border>
      <left/>
      <right/>
      <top style="medium">
        <color theme="0" tint="-0.34998626667073579"/>
      </top>
      <bottom style="medium">
        <color indexed="64"/>
      </bottom>
      <diagonal/>
    </border>
    <border>
      <left style="medium">
        <color indexed="64"/>
      </left>
      <right style="medium">
        <color indexed="64"/>
      </right>
      <top style="medium">
        <color theme="0" tint="-0.34998626667073579"/>
      </top>
      <bottom/>
      <diagonal/>
    </border>
    <border>
      <left style="medium">
        <color indexed="64"/>
      </left>
      <right/>
      <top style="medium">
        <color theme="0" tint="-0.34998626667073579"/>
      </top>
      <bottom style="medium">
        <color indexed="64"/>
      </bottom>
      <diagonal/>
    </border>
    <border>
      <left/>
      <right style="medium">
        <color theme="0" tint="-0.34998626667073579"/>
      </right>
      <top style="medium">
        <color theme="0" tint="-0.34998626667073579"/>
      </top>
      <bottom style="medium">
        <color indexed="64"/>
      </bottom>
      <diagonal/>
    </border>
    <border>
      <left/>
      <right style="medium">
        <color theme="0" tint="-0.34998626667073579"/>
      </right>
      <top/>
      <bottom style="thin">
        <color indexed="64"/>
      </bottom>
      <diagonal/>
    </border>
    <border>
      <left style="thin">
        <color indexed="64"/>
      </left>
      <right style="medium">
        <color theme="0" tint="-0.34998626667073579"/>
      </right>
      <top/>
      <bottom/>
      <diagonal/>
    </border>
    <border>
      <left/>
      <right/>
      <top/>
      <bottom style="medium">
        <color theme="0" tint="-0.34998626667073579"/>
      </bottom>
      <diagonal/>
    </border>
    <border>
      <left style="thin">
        <color indexed="64"/>
      </left>
      <right style="thin">
        <color indexed="64"/>
      </right>
      <top/>
      <bottom style="medium">
        <color theme="0" tint="-0.34998626667073579"/>
      </bottom>
      <diagonal/>
    </border>
    <border>
      <left/>
      <right style="thin">
        <color indexed="64"/>
      </right>
      <top/>
      <bottom style="medium">
        <color theme="0" tint="-0.34998626667073579"/>
      </bottom>
      <diagonal/>
    </border>
    <border>
      <left style="thin">
        <color indexed="64"/>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style="medium">
        <color theme="0" tint="-0.34998626667073579"/>
      </left>
      <right/>
      <top/>
      <bottom style="medium">
        <color theme="0" tint="-0.34998626667073579"/>
      </bottom>
      <diagonal/>
    </border>
    <border>
      <left/>
      <right style="medium">
        <color theme="0" tint="-0.34998626667073579"/>
      </right>
      <top/>
      <bottom style="medium">
        <color theme="0" tint="-0.34998626667073579"/>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theme="1" tint="0.34998626667073579"/>
      </left>
      <right/>
      <top style="medium">
        <color theme="1" tint="0.34998626667073579"/>
      </top>
      <bottom style="medium">
        <color theme="0" tint="-0.34998626667073579"/>
      </bottom>
      <diagonal/>
    </border>
    <border>
      <left/>
      <right/>
      <top style="medium">
        <color theme="1" tint="0.34998626667073579"/>
      </top>
      <bottom style="medium">
        <color theme="0" tint="-0.34998626667073579"/>
      </bottom>
      <diagonal/>
    </border>
    <border>
      <left/>
      <right style="medium">
        <color theme="1" tint="0.34998626667073579"/>
      </right>
      <top/>
      <bottom/>
      <diagonal/>
    </border>
    <border>
      <left style="medium">
        <color theme="0" tint="-0.34998626667073579"/>
      </left>
      <right style="medium">
        <color theme="1" tint="0.34998626667073579"/>
      </right>
      <top style="medium">
        <color theme="1" tint="0.34998626667073579"/>
      </top>
      <bottom style="medium">
        <color theme="0" tint="-0.34998626667073579"/>
      </bottom>
      <diagonal/>
    </border>
    <border>
      <left style="medium">
        <color theme="0" tint="-0.34998626667073579"/>
      </left>
      <right style="medium">
        <color theme="0" tint="-0.34998626667073579"/>
      </right>
      <top style="medium">
        <color theme="1" tint="0.34998626667073579"/>
      </top>
      <bottom style="medium">
        <color theme="0" tint="-0.34998626667073579"/>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right style="medium">
        <color theme="1" tint="0.34998626667073579"/>
      </right>
      <top/>
      <bottom style="medium">
        <color indexed="64"/>
      </bottom>
      <diagonal/>
    </border>
    <border>
      <left style="medium">
        <color theme="1" tint="0.34998626667073579"/>
      </left>
      <right style="medium">
        <color theme="0" tint="-0.34998626667073579"/>
      </right>
      <top style="medium">
        <color theme="1" tint="0.34998626667073579"/>
      </top>
      <bottom/>
      <diagonal/>
    </border>
    <border>
      <left style="medium">
        <color theme="1" tint="0.34998626667073579"/>
      </left>
      <right style="medium">
        <color theme="0" tint="-0.34998626667073579"/>
      </right>
      <top/>
      <bottom/>
      <diagonal/>
    </border>
    <border>
      <left style="medium">
        <color theme="0" tint="-0.34998626667073579"/>
      </left>
      <right/>
      <top style="medium">
        <color theme="1" tint="0.34998626667073579"/>
      </top>
      <bottom/>
      <diagonal/>
    </border>
    <border>
      <left style="medium">
        <color theme="1" tint="0.34998626667073579"/>
      </left>
      <right style="medium">
        <color theme="0" tint="-0.34998626667073579"/>
      </right>
      <top style="medium">
        <color indexed="64"/>
      </top>
      <bottom style="thin">
        <color theme="0" tint="-0.14996795556505021"/>
      </bottom>
      <diagonal/>
    </border>
    <border>
      <left/>
      <right/>
      <top style="medium">
        <color indexed="64"/>
      </top>
      <bottom style="thin">
        <color theme="0" tint="-0.14996795556505021"/>
      </bottom>
      <diagonal/>
    </border>
    <border>
      <left style="medium">
        <color theme="0" tint="-0.34998626667073579"/>
      </left>
      <right/>
      <top style="medium">
        <color indexed="64"/>
      </top>
      <bottom style="thin">
        <color theme="0" tint="-0.14996795556505021"/>
      </bottom>
      <diagonal/>
    </border>
    <border>
      <left/>
      <right style="medium">
        <color theme="1" tint="0.34998626667073579"/>
      </right>
      <top style="medium">
        <color indexed="64"/>
      </top>
      <bottom style="thin">
        <color theme="0" tint="-0.14996795556505021"/>
      </bottom>
      <diagonal/>
    </border>
    <border>
      <left style="medium">
        <color theme="1" tint="0.34998626667073579"/>
      </left>
      <right style="medium">
        <color theme="0" tint="-0.34998626667073579"/>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style="medium">
        <color theme="0" tint="-0.34998626667073579"/>
      </left>
      <right/>
      <top style="thin">
        <color theme="0" tint="-0.14996795556505021"/>
      </top>
      <bottom style="thin">
        <color theme="0" tint="-0.14996795556505021"/>
      </bottom>
      <diagonal/>
    </border>
    <border>
      <left/>
      <right style="medium">
        <color theme="1" tint="0.34998626667073579"/>
      </right>
      <top style="thin">
        <color theme="0" tint="-0.14996795556505021"/>
      </top>
      <bottom style="thin">
        <color theme="0" tint="-0.14996795556505021"/>
      </bottom>
      <diagonal/>
    </border>
    <border>
      <left style="thick">
        <color theme="1" tint="0.34998626667073579"/>
      </left>
      <right/>
      <top/>
      <bottom style="thin">
        <color indexed="64"/>
      </bottom>
      <diagonal/>
    </border>
    <border>
      <left style="thick">
        <color theme="1" tint="0.34998626667073579"/>
      </left>
      <right/>
      <top style="medium">
        <color theme="1" tint="0.34998626667073579"/>
      </top>
      <bottom/>
      <diagonal/>
    </border>
    <border>
      <left/>
      <right style="thick">
        <color theme="1" tint="0.34998626667073579"/>
      </right>
      <top style="medium">
        <color theme="1" tint="0.34998626667073579"/>
      </top>
      <bottom/>
      <diagonal/>
    </border>
    <border>
      <left style="thin">
        <color theme="0" tint="-0.34998626667073579"/>
      </left>
      <right style="thick">
        <color theme="1"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ck">
        <color theme="1" tint="0.34998626667073579"/>
      </right>
      <top style="thin">
        <color theme="0" tint="-0.34998626667073579"/>
      </top>
      <bottom/>
      <diagonal/>
    </border>
    <border>
      <left style="thick">
        <color theme="1"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ck">
        <color theme="1" tint="0.34998626667073579"/>
      </right>
      <top style="thin">
        <color theme="0" tint="-0.34998626667073579"/>
      </top>
      <bottom style="medium">
        <color indexed="64"/>
      </bottom>
      <diagonal/>
    </border>
    <border>
      <left style="thin">
        <color theme="0" tint="-0.34998626667073579"/>
      </left>
      <right style="thick">
        <color theme="1" tint="0.34998626667073579"/>
      </right>
      <top/>
      <bottom style="thin">
        <color indexed="64"/>
      </bottom>
      <diagonal/>
    </border>
    <border>
      <left style="thick">
        <color theme="1" tint="0.34998626667073579"/>
      </left>
      <right style="thin">
        <color theme="0" tint="-0.34998626667073579"/>
      </right>
      <top style="medium">
        <color auto="1"/>
      </top>
      <bottom style="thick">
        <color theme="1" tint="0.34998626667073579"/>
      </bottom>
      <diagonal/>
    </border>
    <border>
      <left style="thin">
        <color theme="0" tint="-0.34998626667073579"/>
      </left>
      <right style="thin">
        <color theme="0" tint="-0.34998626667073579"/>
      </right>
      <top style="medium">
        <color auto="1"/>
      </top>
      <bottom style="thick">
        <color theme="1" tint="0.34998626667073579"/>
      </bottom>
      <diagonal/>
    </border>
    <border>
      <left style="thin">
        <color theme="0" tint="-0.34998626667073579"/>
      </left>
      <right/>
      <top style="medium">
        <color indexed="64"/>
      </top>
      <bottom style="thin">
        <color theme="0" tint="-0.14996795556505021"/>
      </bottom>
      <diagonal/>
    </border>
    <border>
      <left/>
      <right style="thin">
        <color theme="0" tint="-0.34998626667073579"/>
      </right>
      <top style="medium">
        <color indexed="64"/>
      </top>
      <bottom style="thin">
        <color theme="0" tint="-0.14996795556505021"/>
      </bottom>
      <diagonal/>
    </border>
    <border>
      <left style="thin">
        <color theme="0" tint="-0.34998626667073579"/>
      </left>
      <right/>
      <top style="thin">
        <color theme="0" tint="-0.14996795556505021"/>
      </top>
      <bottom style="thin">
        <color theme="0" tint="-0.14996795556505021"/>
      </bottom>
      <diagonal/>
    </border>
    <border>
      <left/>
      <right style="thin">
        <color theme="0" tint="-0.34998626667073579"/>
      </right>
      <top style="thin">
        <color theme="0" tint="-0.14996795556505021"/>
      </top>
      <bottom style="thin">
        <color theme="0" tint="-0.14996795556505021"/>
      </bottom>
      <diagonal/>
    </border>
    <border>
      <left style="thin">
        <color theme="0" tint="-0.34998626667073579"/>
      </left>
      <right style="thin">
        <color theme="0" tint="-0.34998626667073579"/>
      </right>
      <top style="medium">
        <color theme="1" tint="0.34998626667073579"/>
      </top>
      <bottom/>
      <diagonal/>
    </border>
    <border>
      <left style="thin">
        <color theme="0" tint="-0.34998626667073579"/>
      </left>
      <right style="thin">
        <color theme="0" tint="-0.34998626667073579"/>
      </right>
      <top/>
      <bottom style="medium">
        <color indexed="64"/>
      </bottom>
      <diagonal/>
    </border>
    <border>
      <left style="thin">
        <color theme="0" tint="-0.34998626667073579"/>
      </left>
      <right style="thin">
        <color theme="0" tint="-0.34998626667073579"/>
      </right>
      <top style="medium">
        <color indexed="64"/>
      </top>
      <bottom style="thin">
        <color theme="0" tint="-0.14996795556505021"/>
      </bottom>
      <diagonal/>
    </border>
    <border>
      <left style="thin">
        <color theme="0" tint="-0.34998626667073579"/>
      </left>
      <right style="thin">
        <color theme="0" tint="-0.34998626667073579"/>
      </right>
      <top style="thin">
        <color theme="0" tint="-0.14996795556505021"/>
      </top>
      <bottom style="thin">
        <color theme="0" tint="-0.14996795556505021"/>
      </bottom>
      <diagonal/>
    </border>
    <border>
      <left style="thin">
        <color theme="0" tint="-0.34998626667073579"/>
      </left>
      <right/>
      <top style="medium">
        <color theme="1" tint="0.34998626667073579"/>
      </top>
      <bottom/>
      <diagonal/>
    </border>
    <border>
      <left/>
      <right style="thin">
        <color theme="0" tint="-0.34998626667073579"/>
      </right>
      <top style="medium">
        <color theme="1" tint="0.34998626667073579"/>
      </top>
      <bottom/>
      <diagonal/>
    </border>
    <border>
      <left/>
      <right style="thick">
        <color theme="1" tint="0.34998626667073579"/>
      </right>
      <top style="thin">
        <color theme="0" tint="-0.34998626667073579"/>
      </top>
      <bottom/>
      <diagonal/>
    </border>
    <border>
      <left style="thick">
        <color theme="1" tint="0.34998626667073579"/>
      </left>
      <right/>
      <top/>
      <bottom style="medium">
        <color theme="0" tint="-0.34998626667073579"/>
      </bottom>
      <diagonal/>
    </border>
    <border>
      <left style="thin">
        <color theme="0" tint="-0.34998626667073579"/>
      </left>
      <right style="thin">
        <color theme="0" tint="-0.34998626667073579"/>
      </right>
      <top/>
      <bottom style="medium">
        <color theme="0" tint="-0.34998626667073579"/>
      </bottom>
      <diagonal/>
    </border>
    <border>
      <left/>
      <right style="thick">
        <color theme="1" tint="0.34998626667073579"/>
      </right>
      <top/>
      <bottom style="medium">
        <color theme="0" tint="-0.34998626667073579"/>
      </bottom>
      <diagonal/>
    </border>
    <border>
      <left/>
      <right/>
      <top style="hair">
        <color theme="0" tint="-0.14996795556505021"/>
      </top>
      <bottom style="hair">
        <color theme="0" tint="-0.14996795556505021"/>
      </bottom>
      <diagonal/>
    </border>
    <border>
      <left style="medium">
        <color theme="0" tint="-0.34998626667073579"/>
      </left>
      <right/>
      <top style="hair">
        <color theme="0" tint="-0.14996795556505021"/>
      </top>
      <bottom style="hair">
        <color theme="0" tint="-0.14996795556505021"/>
      </bottom>
      <diagonal/>
    </border>
    <border>
      <left style="medium">
        <color theme="0" tint="-0.34998626667073579"/>
      </left>
      <right/>
      <top style="medium">
        <color indexed="64"/>
      </top>
      <bottom style="hair">
        <color theme="0" tint="-0.14996795556505021"/>
      </bottom>
      <diagonal/>
    </border>
    <border>
      <left/>
      <right/>
      <top style="medium">
        <color indexed="64"/>
      </top>
      <bottom style="hair">
        <color theme="0" tint="-0.14996795556505021"/>
      </bottom>
      <diagonal/>
    </border>
    <border>
      <left style="thick">
        <color theme="1" tint="0.34998626667073579"/>
      </left>
      <right/>
      <top style="medium">
        <color indexed="64"/>
      </top>
      <bottom style="hair">
        <color theme="0" tint="-0.24994659260841701"/>
      </bottom>
      <diagonal/>
    </border>
    <border>
      <left style="medium">
        <color theme="0" tint="-0.34998626667073579"/>
      </left>
      <right/>
      <top style="medium">
        <color indexed="64"/>
      </top>
      <bottom style="hair">
        <color theme="0" tint="-0.24994659260841701"/>
      </bottom>
      <diagonal/>
    </border>
    <border>
      <left/>
      <right style="medium">
        <color theme="0" tint="-0.34998626667073579"/>
      </right>
      <top style="medium">
        <color indexed="64"/>
      </top>
      <bottom style="hair">
        <color theme="0" tint="-0.24994659260841701"/>
      </bottom>
      <diagonal/>
    </border>
    <border>
      <left/>
      <right/>
      <top style="medium">
        <color indexed="64"/>
      </top>
      <bottom style="hair">
        <color theme="0" tint="-0.24994659260841701"/>
      </bottom>
      <diagonal/>
    </border>
    <border>
      <left/>
      <right style="thick">
        <color theme="1" tint="0.34998626667073579"/>
      </right>
      <top style="medium">
        <color indexed="64"/>
      </top>
      <bottom style="hair">
        <color theme="0" tint="-0.24994659260841701"/>
      </bottom>
      <diagonal/>
    </border>
    <border>
      <left style="thick">
        <color theme="1" tint="0.34998626667073579"/>
      </left>
      <right/>
      <top style="hair">
        <color theme="0" tint="-0.24994659260841701"/>
      </top>
      <bottom style="hair">
        <color theme="0" tint="-0.24994659260841701"/>
      </bottom>
      <diagonal/>
    </border>
    <border>
      <left style="medium">
        <color theme="0" tint="-0.34998626667073579"/>
      </left>
      <right/>
      <top style="hair">
        <color theme="0" tint="-0.24994659260841701"/>
      </top>
      <bottom style="hair">
        <color theme="0" tint="-0.24994659260841701"/>
      </bottom>
      <diagonal/>
    </border>
    <border>
      <left/>
      <right style="medium">
        <color theme="0" tint="-0.34998626667073579"/>
      </right>
      <top style="hair">
        <color theme="0" tint="-0.24994659260841701"/>
      </top>
      <bottom style="hair">
        <color theme="0" tint="-0.24994659260841701"/>
      </bottom>
      <diagonal/>
    </border>
    <border>
      <left/>
      <right/>
      <top style="hair">
        <color theme="0" tint="-0.24994659260841701"/>
      </top>
      <bottom style="hair">
        <color theme="0" tint="-0.24994659260841701"/>
      </bottom>
      <diagonal/>
    </border>
    <border>
      <left/>
      <right style="thick">
        <color theme="1" tint="0.34998626667073579"/>
      </right>
      <top style="hair">
        <color theme="0" tint="-0.24994659260841701"/>
      </top>
      <bottom style="hair">
        <color theme="0" tint="-0.24994659260841701"/>
      </bottom>
      <diagonal/>
    </border>
    <border>
      <left style="thick">
        <color theme="1" tint="0.34998626667073579"/>
      </left>
      <right/>
      <top style="hair">
        <color theme="0" tint="-0.24994659260841701"/>
      </top>
      <bottom style="thick">
        <color theme="1" tint="0.34998626667073579"/>
      </bottom>
      <diagonal/>
    </border>
    <border>
      <left style="medium">
        <color theme="0" tint="-0.34998626667073579"/>
      </left>
      <right/>
      <top style="hair">
        <color theme="0" tint="-0.24994659260841701"/>
      </top>
      <bottom style="thick">
        <color theme="1" tint="0.34998626667073579"/>
      </bottom>
      <diagonal/>
    </border>
    <border>
      <left/>
      <right style="medium">
        <color theme="0" tint="-0.34998626667073579"/>
      </right>
      <top style="hair">
        <color theme="0" tint="-0.24994659260841701"/>
      </top>
      <bottom style="thick">
        <color theme="1" tint="0.34998626667073579"/>
      </bottom>
      <diagonal/>
    </border>
    <border>
      <left/>
      <right/>
      <top style="hair">
        <color theme="0" tint="-0.24994659260841701"/>
      </top>
      <bottom style="thick">
        <color theme="1" tint="0.34998626667073579"/>
      </bottom>
      <diagonal/>
    </border>
    <border>
      <left/>
      <right style="thick">
        <color theme="1" tint="0.34998626667073579"/>
      </right>
      <top style="hair">
        <color theme="0" tint="-0.24994659260841701"/>
      </top>
      <bottom style="thick">
        <color theme="1" tint="0.34998626667073579"/>
      </bottom>
      <diagonal/>
    </border>
    <border>
      <left style="medium">
        <color theme="1" tint="0.34998626667073579"/>
      </left>
      <right/>
      <top style="medium">
        <color theme="0" tint="-0.34998626667073579"/>
      </top>
      <bottom style="hair">
        <color theme="0" tint="-0.24994659260841701"/>
      </bottom>
      <diagonal/>
    </border>
    <border>
      <left style="medium">
        <color theme="0" tint="-0.34998626667073579"/>
      </left>
      <right style="medium">
        <color theme="0" tint="-0.34998626667073579"/>
      </right>
      <top style="medium">
        <color theme="0" tint="-0.34998626667073579"/>
      </top>
      <bottom style="hair">
        <color theme="0" tint="-0.24994659260841701"/>
      </bottom>
      <diagonal/>
    </border>
    <border>
      <left/>
      <right/>
      <top style="medium">
        <color theme="0" tint="-0.34998626667073579"/>
      </top>
      <bottom style="hair">
        <color theme="0" tint="-0.24994659260841701"/>
      </bottom>
      <diagonal/>
    </border>
    <border>
      <left style="medium">
        <color theme="0" tint="-0.34998626667073579"/>
      </left>
      <right style="medium">
        <color theme="1" tint="0.34998626667073579"/>
      </right>
      <top style="medium">
        <color theme="0" tint="-0.34998626667073579"/>
      </top>
      <bottom style="hair">
        <color theme="0" tint="-0.24994659260841701"/>
      </bottom>
      <diagonal/>
    </border>
    <border>
      <left style="medium">
        <color theme="1" tint="0.34998626667073579"/>
      </left>
      <right/>
      <top style="hair">
        <color theme="0" tint="-0.24994659260841701"/>
      </top>
      <bottom style="hair">
        <color theme="0" tint="-0.24994659260841701"/>
      </bottom>
      <diagonal/>
    </border>
    <border>
      <left style="medium">
        <color theme="0" tint="-0.34998626667073579"/>
      </left>
      <right style="medium">
        <color theme="0" tint="-0.34998626667073579"/>
      </right>
      <top style="hair">
        <color theme="0" tint="-0.24994659260841701"/>
      </top>
      <bottom style="hair">
        <color theme="0" tint="-0.24994659260841701"/>
      </bottom>
      <diagonal/>
    </border>
    <border>
      <left style="medium">
        <color theme="0" tint="-0.34998626667073579"/>
      </left>
      <right style="medium">
        <color theme="1" tint="0.34998626667073579"/>
      </right>
      <top style="hair">
        <color theme="0" tint="-0.24994659260841701"/>
      </top>
      <bottom style="hair">
        <color theme="0" tint="-0.24994659260841701"/>
      </bottom>
      <diagonal/>
    </border>
    <border>
      <left style="medium">
        <color theme="1" tint="0.34998626667073579"/>
      </left>
      <right/>
      <top style="hair">
        <color theme="0" tint="-0.24994659260841701"/>
      </top>
      <bottom style="medium">
        <color theme="1" tint="0.34998626667073579"/>
      </bottom>
      <diagonal/>
    </border>
    <border>
      <left style="medium">
        <color theme="0" tint="-0.34998626667073579"/>
      </left>
      <right style="medium">
        <color theme="0" tint="-0.34998626667073579"/>
      </right>
      <top style="hair">
        <color theme="0" tint="-0.24994659260841701"/>
      </top>
      <bottom style="medium">
        <color theme="1" tint="0.34998626667073579"/>
      </bottom>
      <diagonal/>
    </border>
    <border>
      <left/>
      <right/>
      <top style="hair">
        <color theme="0" tint="-0.24994659260841701"/>
      </top>
      <bottom style="medium">
        <color theme="1" tint="0.34998626667073579"/>
      </bottom>
      <diagonal/>
    </border>
    <border>
      <left style="medium">
        <color theme="0" tint="-0.34998626667073579"/>
      </left>
      <right style="medium">
        <color theme="1" tint="0.34998626667073579"/>
      </right>
      <top style="hair">
        <color theme="0" tint="-0.24994659260841701"/>
      </top>
      <bottom style="medium">
        <color theme="1" tint="0.34998626667073579"/>
      </bottom>
      <diagonal/>
    </border>
    <border>
      <left style="medium">
        <color theme="1" tint="0.34998626667073579"/>
      </left>
      <right style="medium">
        <color theme="0" tint="-0.34998626667073579"/>
      </right>
      <top style="thin">
        <color theme="0" tint="-0.14996795556505021"/>
      </top>
      <bottom style="hair">
        <color theme="0" tint="-0.24994659260841701"/>
      </bottom>
      <diagonal/>
    </border>
    <border>
      <left/>
      <right/>
      <top style="thin">
        <color theme="0" tint="-0.14996795556505021"/>
      </top>
      <bottom style="hair">
        <color theme="0" tint="-0.24994659260841701"/>
      </bottom>
      <diagonal/>
    </border>
    <border>
      <left style="thin">
        <color theme="0" tint="-0.34998626667073579"/>
      </left>
      <right/>
      <top style="thin">
        <color theme="0" tint="-0.14996795556505021"/>
      </top>
      <bottom style="hair">
        <color theme="0" tint="-0.24994659260841701"/>
      </bottom>
      <diagonal/>
    </border>
    <border>
      <left/>
      <right style="thin">
        <color theme="0" tint="-0.34998626667073579"/>
      </right>
      <top style="thin">
        <color theme="0" tint="-0.14996795556505021"/>
      </top>
      <bottom style="hair">
        <color theme="0" tint="-0.24994659260841701"/>
      </bottom>
      <diagonal/>
    </border>
    <border>
      <left style="thin">
        <color theme="0" tint="-0.34998626667073579"/>
      </left>
      <right style="thin">
        <color theme="0" tint="-0.34998626667073579"/>
      </right>
      <top style="thin">
        <color theme="0" tint="-0.14996795556505021"/>
      </top>
      <bottom style="hair">
        <color theme="0" tint="-0.24994659260841701"/>
      </bottom>
      <diagonal/>
    </border>
    <border>
      <left style="medium">
        <color theme="0" tint="-0.34998626667073579"/>
      </left>
      <right/>
      <top style="thin">
        <color theme="0" tint="-0.14996795556505021"/>
      </top>
      <bottom style="hair">
        <color theme="0" tint="-0.24994659260841701"/>
      </bottom>
      <diagonal/>
    </border>
    <border>
      <left/>
      <right style="medium">
        <color theme="1" tint="0.34998626667073579"/>
      </right>
      <top style="thin">
        <color theme="0" tint="-0.14996795556505021"/>
      </top>
      <bottom style="hair">
        <color theme="0" tint="-0.24994659260841701"/>
      </bottom>
      <diagonal/>
    </border>
    <border>
      <left style="medium">
        <color theme="1" tint="0.34998626667073579"/>
      </left>
      <right style="medium">
        <color theme="0" tint="-0.34998626667073579"/>
      </right>
      <top style="hair">
        <color theme="0" tint="-0.24994659260841701"/>
      </top>
      <bottom style="hair">
        <color theme="0" tint="-0.24994659260841701"/>
      </bottom>
      <diagonal/>
    </border>
    <border>
      <left style="thin">
        <color theme="0" tint="-0.34998626667073579"/>
      </left>
      <right/>
      <top style="hair">
        <color theme="0" tint="-0.24994659260841701"/>
      </top>
      <bottom style="hair">
        <color theme="0" tint="-0.24994659260841701"/>
      </bottom>
      <diagonal/>
    </border>
    <border>
      <left/>
      <right style="thin">
        <color theme="0" tint="-0.34998626667073579"/>
      </right>
      <top style="hair">
        <color theme="0" tint="-0.24994659260841701"/>
      </top>
      <bottom style="hair">
        <color theme="0" tint="-0.24994659260841701"/>
      </bottom>
      <diagonal/>
    </border>
    <border>
      <left style="thin">
        <color theme="0" tint="-0.34998626667073579"/>
      </left>
      <right style="thin">
        <color theme="0" tint="-0.34998626667073579"/>
      </right>
      <top style="hair">
        <color theme="0" tint="-0.24994659260841701"/>
      </top>
      <bottom style="hair">
        <color theme="0" tint="-0.24994659260841701"/>
      </bottom>
      <diagonal/>
    </border>
    <border>
      <left/>
      <right style="medium">
        <color theme="1" tint="0.34998626667073579"/>
      </right>
      <top style="hair">
        <color theme="0" tint="-0.24994659260841701"/>
      </top>
      <bottom style="hair">
        <color theme="0" tint="-0.24994659260841701"/>
      </bottom>
      <diagonal/>
    </border>
    <border>
      <left style="medium">
        <color theme="1" tint="0.34998626667073579"/>
      </left>
      <right style="medium">
        <color theme="0" tint="-0.34998626667073579"/>
      </right>
      <top style="hair">
        <color theme="0" tint="-0.24994659260841701"/>
      </top>
      <bottom style="medium">
        <color theme="1" tint="0.34998626667073579"/>
      </bottom>
      <diagonal/>
    </border>
    <border>
      <left style="thin">
        <color theme="0" tint="-0.34998626667073579"/>
      </left>
      <right/>
      <top style="hair">
        <color theme="0" tint="-0.24994659260841701"/>
      </top>
      <bottom style="medium">
        <color theme="1" tint="0.34998626667073579"/>
      </bottom>
      <diagonal/>
    </border>
    <border>
      <left/>
      <right style="thin">
        <color theme="0" tint="-0.34998626667073579"/>
      </right>
      <top style="hair">
        <color theme="0" tint="-0.24994659260841701"/>
      </top>
      <bottom style="medium">
        <color theme="1" tint="0.34998626667073579"/>
      </bottom>
      <diagonal/>
    </border>
    <border>
      <left style="thin">
        <color theme="0" tint="-0.34998626667073579"/>
      </left>
      <right style="thin">
        <color theme="0" tint="-0.34998626667073579"/>
      </right>
      <top style="hair">
        <color theme="0" tint="-0.24994659260841701"/>
      </top>
      <bottom style="medium">
        <color theme="1" tint="0.34998626667073579"/>
      </bottom>
      <diagonal/>
    </border>
    <border>
      <left style="medium">
        <color theme="0" tint="-0.34998626667073579"/>
      </left>
      <right/>
      <top style="hair">
        <color theme="0" tint="-0.24994659260841701"/>
      </top>
      <bottom style="medium">
        <color theme="1" tint="0.34998626667073579"/>
      </bottom>
      <diagonal/>
    </border>
    <border>
      <left/>
      <right style="medium">
        <color theme="1" tint="0.34998626667073579"/>
      </right>
      <top style="hair">
        <color theme="0" tint="-0.24994659260841701"/>
      </top>
      <bottom style="medium">
        <color theme="1" tint="0.34998626667073579"/>
      </bottom>
      <diagonal/>
    </border>
    <border>
      <left style="thick">
        <color theme="1" tint="0.34998626667073579"/>
      </left>
      <right/>
      <top style="medium">
        <color theme="0" tint="-0.34998626667073579"/>
      </top>
      <bottom style="hair">
        <color theme="0" tint="-0.24994659260841701"/>
      </bottom>
      <diagonal/>
    </border>
    <border>
      <left style="medium">
        <color theme="0" tint="-0.34998626667073579"/>
      </left>
      <right/>
      <top style="medium">
        <color theme="0" tint="-0.34998626667073579"/>
      </top>
      <bottom style="hair">
        <color theme="0" tint="-0.24994659260841701"/>
      </bottom>
      <diagonal/>
    </border>
    <border>
      <left/>
      <right style="medium">
        <color theme="0" tint="-0.34998626667073579"/>
      </right>
      <top style="medium">
        <color theme="0" tint="-0.34998626667073579"/>
      </top>
      <bottom style="hair">
        <color theme="0" tint="-0.24994659260841701"/>
      </bottom>
      <diagonal/>
    </border>
    <border>
      <left style="thin">
        <color theme="0" tint="-0.34998626667073579"/>
      </left>
      <right style="thin">
        <color theme="0" tint="-0.34998626667073579"/>
      </right>
      <top style="medium">
        <color theme="0" tint="-0.34998626667073579"/>
      </top>
      <bottom style="hair">
        <color theme="0" tint="-0.24994659260841701"/>
      </bottom>
      <diagonal/>
    </border>
    <border>
      <left/>
      <right style="thick">
        <color theme="1" tint="0.34998626667073579"/>
      </right>
      <top style="medium">
        <color theme="0" tint="-0.34998626667073579"/>
      </top>
      <bottom style="hair">
        <color theme="0" tint="-0.24994659260841701"/>
      </bottom>
      <diagonal/>
    </border>
    <border>
      <left style="thick">
        <color theme="1" tint="0.34998626667073579"/>
      </left>
      <right style="hair">
        <color indexed="64"/>
      </right>
      <top style="hair">
        <color theme="0" tint="-0.24994659260841701"/>
      </top>
      <bottom style="hair">
        <color theme="0" tint="-0.24994659260841701"/>
      </bottom>
      <diagonal/>
    </border>
    <border>
      <left style="thin">
        <color theme="0" tint="-0.34998626667073579"/>
      </left>
      <right style="thin">
        <color theme="0" tint="-0.34998626667073579"/>
      </right>
      <top style="hair">
        <color theme="0" tint="-0.24994659260841701"/>
      </top>
      <bottom style="thick">
        <color theme="1" tint="0.34998626667073579"/>
      </bottom>
      <diagonal/>
    </border>
    <border>
      <left style="thick">
        <color theme="1" tint="0.34998626667073579"/>
      </left>
      <right/>
      <top style="thin">
        <color indexed="64"/>
      </top>
      <bottom style="hair">
        <color theme="0" tint="-0.24994659260841701"/>
      </bottom>
      <diagonal/>
    </border>
    <border>
      <left style="thin">
        <color theme="0" tint="-0.34998626667073579"/>
      </left>
      <right/>
      <top style="thin">
        <color indexed="64"/>
      </top>
      <bottom style="hair">
        <color theme="0" tint="-0.24994659260841701"/>
      </bottom>
      <diagonal/>
    </border>
    <border>
      <left/>
      <right style="thin">
        <color theme="0" tint="-0.34998626667073579"/>
      </right>
      <top style="thin">
        <color indexed="64"/>
      </top>
      <bottom style="hair">
        <color theme="0" tint="-0.24994659260841701"/>
      </bottom>
      <diagonal/>
    </border>
    <border>
      <left style="thin">
        <color theme="0" tint="-0.34998626667073579"/>
      </left>
      <right/>
      <top style="hair">
        <color theme="0" tint="-0.24994659260841701"/>
      </top>
      <bottom style="thick">
        <color theme="1" tint="0.34998626667073579"/>
      </bottom>
      <diagonal/>
    </border>
    <border>
      <left/>
      <right style="thin">
        <color theme="0" tint="-0.34998626667073579"/>
      </right>
      <top style="hair">
        <color theme="0" tint="-0.24994659260841701"/>
      </top>
      <bottom style="thick">
        <color theme="1" tint="0.34998626667073579"/>
      </bottom>
      <diagonal/>
    </border>
    <border>
      <left style="thin">
        <color theme="0" tint="-0.34998626667073579"/>
      </left>
      <right style="thin">
        <color theme="0" tint="-0.34998626667073579"/>
      </right>
      <top style="thin">
        <color indexed="64"/>
      </top>
      <bottom style="hair">
        <color theme="0" tint="-0.24994659260841701"/>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style="thin">
        <color indexed="64"/>
      </bottom>
      <diagonal/>
    </border>
    <border>
      <left/>
      <right style="thin">
        <color theme="0" tint="-0.34998626667073579"/>
      </right>
      <top style="thin">
        <color theme="0" tint="-0.34998626667073579"/>
      </top>
      <bottom style="thin">
        <color indexed="64"/>
      </bottom>
      <diagonal/>
    </border>
    <border>
      <left style="thin">
        <color theme="0" tint="-0.34998626667073579"/>
      </left>
      <right style="thick">
        <color theme="1" tint="0.34998626667073579"/>
      </right>
      <top style="thick">
        <color theme="1" tint="0.34998626667073579"/>
      </top>
      <bottom/>
      <diagonal/>
    </border>
    <border>
      <left style="thin">
        <color theme="0" tint="-0.34998626667073579"/>
      </left>
      <right style="thick">
        <color theme="1" tint="0.34998626667073579"/>
      </right>
      <top/>
      <bottom/>
      <diagonal/>
    </border>
    <border>
      <left style="thin">
        <color theme="0" tint="-0.34998626667073579"/>
      </left>
      <right style="thin">
        <color theme="0" tint="-0.34998626667073579"/>
      </right>
      <top/>
      <bottom style="hair">
        <color theme="0" tint="-0.24994659260841701"/>
      </bottom>
      <diagonal/>
    </border>
    <border>
      <left style="thin">
        <color theme="0" tint="-0.34998626667073579"/>
      </left>
      <right style="thick">
        <color theme="1" tint="0.34998626667073579"/>
      </right>
      <top/>
      <bottom style="hair">
        <color theme="0" tint="-0.24994659260841701"/>
      </bottom>
      <diagonal/>
    </border>
    <border>
      <left style="thin">
        <color theme="0" tint="-0.34998626667073579"/>
      </left>
      <right style="thick">
        <color theme="1" tint="0.34998626667073579"/>
      </right>
      <top style="hair">
        <color theme="0" tint="-0.24994659260841701"/>
      </top>
      <bottom style="hair">
        <color theme="0" tint="-0.24994659260841701"/>
      </bottom>
      <diagonal/>
    </border>
    <border>
      <left style="thin">
        <color theme="0" tint="-0.34998626667073579"/>
      </left>
      <right style="thick">
        <color theme="1" tint="0.34998626667073579"/>
      </right>
      <top style="hair">
        <color theme="0" tint="-0.24994659260841701"/>
      </top>
      <bottom style="thick">
        <color theme="1" tint="0.34998626667073579"/>
      </bottom>
      <diagonal/>
    </border>
    <border>
      <left/>
      <right style="thick">
        <color theme="1" tint="0.34998626667073579"/>
      </right>
      <top/>
      <bottom style="thin">
        <color theme="0" tint="-0.34998626667073579"/>
      </bottom>
      <diagonal/>
    </border>
    <border>
      <left style="medium">
        <color theme="0" tint="-0.34998626667073579"/>
      </left>
      <right style="thin">
        <color theme="0" tint="-0.34998626667073579"/>
      </right>
      <top style="thick">
        <color theme="1" tint="0.34998626667073579"/>
      </top>
      <bottom/>
      <diagonal/>
    </border>
    <border>
      <left style="medium">
        <color theme="0" tint="-0.34998626667073579"/>
      </left>
      <right style="thin">
        <color theme="0" tint="-0.34998626667073579"/>
      </right>
      <top/>
      <bottom/>
      <diagonal/>
    </border>
    <border>
      <left style="medium">
        <color theme="0" tint="-0.34998626667073579"/>
      </left>
      <right style="thin">
        <color theme="0" tint="-0.34998626667073579"/>
      </right>
      <top/>
      <bottom style="hair">
        <color theme="0" tint="-0.24994659260841701"/>
      </bottom>
      <diagonal/>
    </border>
    <border>
      <left style="medium">
        <color theme="0" tint="-0.34998626667073579"/>
      </left>
      <right style="thin">
        <color theme="0" tint="-0.34998626667073579"/>
      </right>
      <top style="hair">
        <color theme="0" tint="-0.24994659260841701"/>
      </top>
      <bottom style="hair">
        <color theme="0" tint="-0.24994659260841701"/>
      </bottom>
      <diagonal/>
    </border>
    <border>
      <left style="medium">
        <color theme="0" tint="-0.34998626667073579"/>
      </left>
      <right style="thin">
        <color theme="0" tint="-0.34998626667073579"/>
      </right>
      <top style="hair">
        <color theme="0" tint="-0.24994659260841701"/>
      </top>
      <bottom style="thick">
        <color theme="1" tint="0.34998626667073579"/>
      </bottom>
      <diagonal/>
    </border>
    <border>
      <left style="thin">
        <color theme="0" tint="-0.34998626667073579"/>
      </left>
      <right style="medium">
        <color theme="0" tint="-0.34998626667073579"/>
      </right>
      <top style="thick">
        <color theme="1" tint="0.34998626667073579"/>
      </top>
      <bottom/>
      <diagonal/>
    </border>
    <border>
      <left style="thin">
        <color theme="0" tint="-0.34998626667073579"/>
      </left>
      <right style="medium">
        <color theme="0" tint="-0.34998626667073579"/>
      </right>
      <top/>
      <bottom/>
      <diagonal/>
    </border>
    <border>
      <left style="thin">
        <color theme="0" tint="-0.34998626667073579"/>
      </left>
      <right style="medium">
        <color theme="0" tint="-0.34998626667073579"/>
      </right>
      <top style="thin">
        <color indexed="64"/>
      </top>
      <bottom style="hair">
        <color theme="0" tint="-0.24994659260841701"/>
      </bottom>
      <diagonal/>
    </border>
    <border>
      <left style="thin">
        <color theme="0" tint="-0.34998626667073579"/>
      </left>
      <right style="medium">
        <color theme="0" tint="-0.34998626667073579"/>
      </right>
      <top style="hair">
        <color theme="0" tint="-0.24994659260841701"/>
      </top>
      <bottom style="hair">
        <color theme="0" tint="-0.24994659260841701"/>
      </bottom>
      <diagonal/>
    </border>
    <border>
      <left style="thin">
        <color theme="0" tint="-0.34998626667073579"/>
      </left>
      <right style="medium">
        <color theme="0" tint="-0.34998626667073579"/>
      </right>
      <top style="hair">
        <color theme="0" tint="-0.24994659260841701"/>
      </top>
      <bottom style="thick">
        <color theme="1" tint="0.34998626667073579"/>
      </bottom>
      <diagonal/>
    </border>
    <border>
      <left style="medium">
        <color theme="0" tint="-0.34998626667073579"/>
      </left>
      <right style="thin">
        <color theme="0" tint="-0.34998626667073579"/>
      </right>
      <top style="thin">
        <color indexed="64"/>
      </top>
      <bottom style="hair">
        <color theme="0" tint="-0.24994659260841701"/>
      </bottom>
      <diagonal/>
    </border>
    <border>
      <left style="medium">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medium">
        <color theme="0" tint="-0.34998626667073579"/>
      </right>
      <top style="thin">
        <color theme="0" tint="-0.34998626667073579"/>
      </top>
      <bottom style="thin">
        <color indexed="64"/>
      </bottom>
      <diagonal/>
    </border>
    <border>
      <left style="thick">
        <color theme="1" tint="0.34998626667073579"/>
      </left>
      <right style="medium">
        <color theme="0" tint="-0.34998626667073579"/>
      </right>
      <top style="medium">
        <color indexed="64"/>
      </top>
      <bottom style="hair">
        <color theme="0" tint="-0.24994659260841701"/>
      </bottom>
      <diagonal/>
    </border>
    <border>
      <left style="thin">
        <color theme="0" tint="-0.34998626667073579"/>
      </left>
      <right style="thin">
        <color theme="0" tint="-0.34998626667073579"/>
      </right>
      <top style="medium">
        <color indexed="64"/>
      </top>
      <bottom style="hair">
        <color theme="0" tint="-0.24994659260841701"/>
      </bottom>
      <diagonal/>
    </border>
    <border>
      <left style="thin">
        <color theme="0" tint="-0.34998626667073579"/>
      </left>
      <right/>
      <top style="medium">
        <color indexed="64"/>
      </top>
      <bottom style="hair">
        <color theme="0" tint="-0.24994659260841701"/>
      </bottom>
      <diagonal/>
    </border>
    <border>
      <left/>
      <right style="thin">
        <color theme="0" tint="-0.34998626667073579"/>
      </right>
      <top style="medium">
        <color indexed="64"/>
      </top>
      <bottom style="hair">
        <color theme="0" tint="-0.24994659260841701"/>
      </bottom>
      <diagonal/>
    </border>
    <border>
      <left style="thick">
        <color theme="1" tint="0.34998626667073579"/>
      </left>
      <right style="medium">
        <color theme="0" tint="-0.34998626667073579"/>
      </right>
      <top style="hair">
        <color theme="0" tint="-0.24994659260841701"/>
      </top>
      <bottom style="hair">
        <color theme="0" tint="-0.24994659260841701"/>
      </bottom>
      <diagonal/>
    </border>
    <border>
      <left style="thick">
        <color theme="1" tint="0.34998626667073579"/>
      </left>
      <right style="medium">
        <color theme="0" tint="-0.34998626667073579"/>
      </right>
      <top style="hair">
        <color theme="0" tint="-0.24994659260841701"/>
      </top>
      <bottom style="thick">
        <color theme="1" tint="0.34998626667073579"/>
      </bottom>
      <diagonal/>
    </border>
    <border>
      <left style="medium">
        <color indexed="64"/>
      </left>
      <right style="medium">
        <color indexed="64"/>
      </right>
      <top style="medium">
        <color indexed="64"/>
      </top>
      <bottom style="hair">
        <color theme="0" tint="-0.14996795556505021"/>
      </bottom>
      <diagonal/>
    </border>
    <border>
      <left style="thin">
        <color indexed="64"/>
      </left>
      <right style="thin">
        <color indexed="64"/>
      </right>
      <top style="medium">
        <color indexed="64"/>
      </top>
      <bottom style="hair">
        <color theme="0" tint="-0.14996795556505021"/>
      </bottom>
      <diagonal/>
    </border>
    <border>
      <left/>
      <right style="medium">
        <color indexed="64"/>
      </right>
      <top style="medium">
        <color indexed="64"/>
      </top>
      <bottom style="hair">
        <color theme="0" tint="-0.14996795556505021"/>
      </bottom>
      <diagonal/>
    </border>
    <border>
      <left style="medium">
        <color indexed="64"/>
      </left>
      <right/>
      <top style="medium">
        <color indexed="64"/>
      </top>
      <bottom style="hair">
        <color theme="0" tint="-0.14996795556505021"/>
      </bottom>
      <diagonal/>
    </border>
    <border>
      <left style="thin">
        <color indexed="64"/>
      </left>
      <right/>
      <top style="medium">
        <color indexed="64"/>
      </top>
      <bottom style="hair">
        <color theme="0" tint="-0.14996795556505021"/>
      </bottom>
      <diagonal/>
    </border>
    <border>
      <left/>
      <right style="thin">
        <color indexed="64"/>
      </right>
      <top style="medium">
        <color indexed="64"/>
      </top>
      <bottom style="hair">
        <color theme="0" tint="-0.14996795556505021"/>
      </bottom>
      <diagonal/>
    </border>
    <border>
      <left style="thin">
        <color indexed="64"/>
      </left>
      <right style="medium">
        <color indexed="64"/>
      </right>
      <top style="medium">
        <color indexed="64"/>
      </top>
      <bottom style="hair">
        <color theme="0" tint="-0.14996795556505021"/>
      </bottom>
      <diagonal/>
    </border>
    <border>
      <left style="medium">
        <color indexed="64"/>
      </left>
      <right style="medium">
        <color indexed="64"/>
      </right>
      <top style="hair">
        <color theme="0" tint="-0.14996795556505021"/>
      </top>
      <bottom style="hair">
        <color theme="0" tint="-0.14996795556505021"/>
      </bottom>
      <diagonal/>
    </border>
    <border>
      <left style="thin">
        <color indexed="64"/>
      </left>
      <right style="thin">
        <color indexed="64"/>
      </right>
      <top style="hair">
        <color theme="0" tint="-0.14996795556505021"/>
      </top>
      <bottom style="hair">
        <color theme="0" tint="-0.14996795556505021"/>
      </bottom>
      <diagonal/>
    </border>
    <border>
      <left/>
      <right style="medium">
        <color indexed="64"/>
      </right>
      <top style="hair">
        <color theme="0" tint="-0.14996795556505021"/>
      </top>
      <bottom style="hair">
        <color theme="0" tint="-0.14996795556505021"/>
      </bottom>
      <diagonal/>
    </border>
    <border>
      <left style="medium">
        <color indexed="64"/>
      </left>
      <right/>
      <top style="hair">
        <color theme="0" tint="-0.14996795556505021"/>
      </top>
      <bottom style="hair">
        <color theme="0" tint="-0.14996795556505021"/>
      </bottom>
      <diagonal/>
    </border>
    <border>
      <left style="thin">
        <color indexed="64"/>
      </left>
      <right/>
      <top style="hair">
        <color theme="0" tint="-0.14996795556505021"/>
      </top>
      <bottom style="hair">
        <color theme="0" tint="-0.14996795556505021"/>
      </bottom>
      <diagonal/>
    </border>
    <border>
      <left/>
      <right style="thin">
        <color indexed="64"/>
      </right>
      <top style="hair">
        <color theme="0" tint="-0.14996795556505021"/>
      </top>
      <bottom style="hair">
        <color theme="0" tint="-0.14996795556505021"/>
      </bottom>
      <diagonal/>
    </border>
    <border>
      <left style="thin">
        <color indexed="64"/>
      </left>
      <right style="medium">
        <color indexed="64"/>
      </right>
      <top style="hair">
        <color theme="0" tint="-0.14996795556505021"/>
      </top>
      <bottom style="hair">
        <color theme="0" tint="-0.14996795556505021"/>
      </bottom>
      <diagonal/>
    </border>
    <border>
      <left style="medium">
        <color theme="0" tint="-0.34998626667073579"/>
      </left>
      <right style="hair">
        <color indexed="64"/>
      </right>
      <top style="hair">
        <color theme="0" tint="-0.14996795556505021"/>
      </top>
      <bottom style="hair">
        <color theme="0" tint="-0.14996795556505021"/>
      </bottom>
      <diagonal/>
    </border>
    <border>
      <left style="medium">
        <color theme="0" tint="-0.34998626667073579"/>
      </left>
      <right/>
      <top style="hair">
        <color theme="0" tint="-0.14996795556505021"/>
      </top>
      <bottom style="medium">
        <color theme="0" tint="-0.34998626667073579"/>
      </bottom>
      <diagonal/>
    </border>
    <border>
      <left/>
      <right/>
      <top style="hair">
        <color theme="0" tint="-0.14996795556505021"/>
      </top>
      <bottom style="medium">
        <color theme="0" tint="-0.34998626667073579"/>
      </bottom>
      <diagonal/>
    </border>
    <border>
      <left style="medium">
        <color indexed="64"/>
      </left>
      <right style="medium">
        <color indexed="64"/>
      </right>
      <top style="hair">
        <color theme="0" tint="-0.14996795556505021"/>
      </top>
      <bottom/>
      <diagonal/>
    </border>
    <border>
      <left style="thin">
        <color indexed="64"/>
      </left>
      <right style="thin">
        <color indexed="64"/>
      </right>
      <top style="hair">
        <color theme="0" tint="-0.14996795556505021"/>
      </top>
      <bottom style="medium">
        <color theme="0" tint="-0.34998626667073579"/>
      </bottom>
      <diagonal/>
    </border>
    <border>
      <left style="thin">
        <color indexed="64"/>
      </left>
      <right/>
      <top style="hair">
        <color theme="0" tint="-0.14996795556505021"/>
      </top>
      <bottom style="medium">
        <color theme="0" tint="-0.34998626667073579"/>
      </bottom>
      <diagonal/>
    </border>
    <border>
      <left/>
      <right style="medium">
        <color indexed="64"/>
      </right>
      <top style="hair">
        <color theme="0" tint="-0.14996795556505021"/>
      </top>
      <bottom style="medium">
        <color theme="0" tint="-0.34998626667073579"/>
      </bottom>
      <diagonal/>
    </border>
    <border>
      <left style="medium">
        <color indexed="64"/>
      </left>
      <right/>
      <top style="hair">
        <color theme="0" tint="-0.14996795556505021"/>
      </top>
      <bottom style="medium">
        <color theme="0" tint="-0.34998626667073579"/>
      </bottom>
      <diagonal/>
    </border>
    <border>
      <left/>
      <right style="thin">
        <color indexed="64"/>
      </right>
      <top style="hair">
        <color theme="0" tint="-0.14996795556505021"/>
      </top>
      <bottom style="medium">
        <color theme="0" tint="-0.34998626667073579"/>
      </bottom>
      <diagonal/>
    </border>
    <border>
      <left style="thin">
        <color indexed="64"/>
      </left>
      <right style="medium">
        <color indexed="64"/>
      </right>
      <top style="hair">
        <color theme="0" tint="-0.14996795556505021"/>
      </top>
      <bottom style="medium">
        <color theme="0" tint="-0.34998626667073579"/>
      </bottom>
      <diagonal/>
    </border>
    <border>
      <left style="medium">
        <color indexed="64"/>
      </left>
      <right style="medium">
        <color indexed="64"/>
      </right>
      <top style="hair">
        <color theme="0" tint="-0.14996795556505021"/>
      </top>
      <bottom style="medium">
        <color theme="0" tint="-0.34998626667073579"/>
      </bottom>
      <diagonal/>
    </border>
    <border>
      <left style="thick">
        <color theme="1" tint="0.499984740745262"/>
      </left>
      <right/>
      <top style="thick">
        <color theme="1" tint="0.499984740745262"/>
      </top>
      <bottom/>
      <diagonal/>
    </border>
    <border>
      <left/>
      <right/>
      <top style="thick">
        <color theme="1" tint="0.499984740745262"/>
      </top>
      <bottom/>
      <diagonal/>
    </border>
    <border>
      <left/>
      <right style="thick">
        <color theme="1" tint="0.499984740745262"/>
      </right>
      <top style="thick">
        <color theme="1" tint="0.499984740745262"/>
      </top>
      <bottom/>
      <diagonal/>
    </border>
    <border>
      <left style="thick">
        <color theme="1" tint="0.499984740745262"/>
      </left>
      <right/>
      <top/>
      <bottom/>
      <diagonal/>
    </border>
    <border>
      <left/>
      <right style="thick">
        <color theme="1" tint="0.499984740745262"/>
      </right>
      <top/>
      <bottom/>
      <diagonal/>
    </border>
    <border>
      <left style="thick">
        <color theme="1" tint="0.499984740745262"/>
      </left>
      <right/>
      <top/>
      <bottom style="thick">
        <color theme="1" tint="0.499984740745262"/>
      </bottom>
      <diagonal/>
    </border>
    <border>
      <left/>
      <right/>
      <top/>
      <bottom style="thick">
        <color theme="1" tint="0.499984740745262"/>
      </bottom>
      <diagonal/>
    </border>
    <border>
      <left/>
      <right style="thick">
        <color theme="1" tint="0.499984740745262"/>
      </right>
      <top/>
      <bottom style="thick">
        <color theme="1" tint="0.499984740745262"/>
      </bottom>
      <diagonal/>
    </border>
    <border>
      <left/>
      <right style="medium">
        <color indexed="64"/>
      </right>
      <top style="medium">
        <color theme="0" tint="-0.34998626667073579"/>
      </top>
      <bottom/>
      <diagonal/>
    </border>
    <border>
      <left/>
      <right style="medium">
        <color indexed="64"/>
      </right>
      <top style="medium">
        <color theme="0" tint="-0.34998626667073579"/>
      </top>
      <bottom style="medium">
        <color indexed="64"/>
      </bottom>
      <diagonal/>
    </border>
  </borders>
  <cellStyleXfs count="4">
    <xf numFmtId="164" fontId="0" fillId="0" borderId="0" applyFont="0"/>
    <xf numFmtId="0" fontId="20" fillId="0" borderId="0" applyNumberFormat="0" applyFill="0" applyBorder="0" applyAlignment="0" applyProtection="0">
      <alignment vertical="top"/>
      <protection locked="0"/>
    </xf>
    <xf numFmtId="164" fontId="27" fillId="0" borderId="0" applyFont="0"/>
    <xf numFmtId="0" fontId="1" fillId="0" borderId="0"/>
  </cellStyleXfs>
  <cellXfs count="971">
    <xf numFmtId="164" fontId="0" fillId="0" borderId="0" xfId="0"/>
    <xf numFmtId="164" fontId="3" fillId="0" borderId="0" xfId="0" applyFont="1"/>
    <xf numFmtId="164" fontId="3" fillId="0" borderId="0" xfId="0" applyFont="1" applyAlignment="1">
      <alignment horizontal="center"/>
    </xf>
    <xf numFmtId="164" fontId="3" fillId="0" borderId="0" xfId="0" applyFont="1" applyAlignment="1">
      <alignment horizontal="left"/>
    </xf>
    <xf numFmtId="164" fontId="3" fillId="2" borderId="6" xfId="0" applyFont="1" applyFill="1" applyBorder="1" applyAlignment="1">
      <alignment horizontal="center"/>
    </xf>
    <xf numFmtId="164" fontId="3" fillId="2" borderId="2" xfId="0" applyFont="1" applyFill="1" applyBorder="1"/>
    <xf numFmtId="164" fontId="3" fillId="2" borderId="2" xfId="0" applyFont="1" applyFill="1" applyBorder="1" applyAlignment="1">
      <alignment horizontal="right"/>
    </xf>
    <xf numFmtId="164" fontId="4" fillId="0" borderId="0" xfId="0" applyFont="1"/>
    <xf numFmtId="164" fontId="4" fillId="2" borderId="11" xfId="0" applyFont="1" applyFill="1" applyBorder="1"/>
    <xf numFmtId="164" fontId="4" fillId="2" borderId="2" xfId="0" applyFont="1" applyFill="1" applyBorder="1"/>
    <xf numFmtId="164" fontId="3" fillId="2" borderId="0" xfId="0" applyFont="1" applyFill="1" applyAlignment="1">
      <alignment horizontal="center"/>
    </xf>
    <xf numFmtId="164" fontId="3" fillId="2" borderId="10" xfId="0" applyFont="1" applyFill="1" applyBorder="1" applyAlignment="1">
      <alignment horizontal="right"/>
    </xf>
    <xf numFmtId="164" fontId="7" fillId="0" borderId="0" xfId="0" applyFont="1" applyAlignment="1">
      <alignment horizontal="center"/>
    </xf>
    <xf numFmtId="164" fontId="3" fillId="0" borderId="0" xfId="0" quotePrefix="1" applyFont="1" applyAlignment="1">
      <alignment horizontal="center"/>
    </xf>
    <xf numFmtId="164" fontId="3" fillId="2" borderId="4" xfId="0" applyFont="1" applyFill="1" applyBorder="1" applyAlignment="1" applyProtection="1">
      <alignment horizontal="center"/>
      <protection locked="0"/>
    </xf>
    <xf numFmtId="11" fontId="3" fillId="2" borderId="6" xfId="0" applyNumberFormat="1" applyFont="1" applyFill="1" applyBorder="1" applyAlignment="1" applyProtection="1">
      <alignment horizontal="center"/>
      <protection locked="0"/>
    </xf>
    <xf numFmtId="11" fontId="3" fillId="2" borderId="9" xfId="0" applyNumberFormat="1" applyFont="1" applyFill="1" applyBorder="1" applyAlignment="1" applyProtection="1">
      <alignment horizontal="center"/>
      <protection locked="0"/>
    </xf>
    <xf numFmtId="164" fontId="3" fillId="2" borderId="4" xfId="0" applyFont="1" applyFill="1" applyBorder="1" applyAlignment="1">
      <alignment horizontal="center"/>
    </xf>
    <xf numFmtId="164" fontId="3" fillId="2" borderId="6" xfId="0" applyFont="1" applyFill="1" applyBorder="1" applyAlignment="1" applyProtection="1">
      <alignment horizontal="center"/>
      <protection locked="0"/>
    </xf>
    <xf numFmtId="164" fontId="3" fillId="2" borderId="9" xfId="0" applyFont="1" applyFill="1" applyBorder="1" applyAlignment="1">
      <alignment horizontal="center"/>
    </xf>
    <xf numFmtId="164" fontId="3" fillId="2" borderId="0" xfId="0" applyFont="1" applyFill="1" applyAlignment="1" applyProtection="1">
      <alignment horizontal="center"/>
      <protection locked="0"/>
    </xf>
    <xf numFmtId="164" fontId="3" fillId="2" borderId="7" xfId="0" applyFont="1" applyFill="1" applyBorder="1" applyAlignment="1">
      <alignment horizontal="center"/>
    </xf>
    <xf numFmtId="11" fontId="3" fillId="2" borderId="6" xfId="0" applyNumberFormat="1" applyFont="1" applyFill="1" applyBorder="1" applyAlignment="1">
      <alignment horizontal="center"/>
    </xf>
    <xf numFmtId="11" fontId="3" fillId="2" borderId="0" xfId="0" applyNumberFormat="1" applyFont="1" applyFill="1" applyAlignment="1">
      <alignment horizontal="center"/>
    </xf>
    <xf numFmtId="164" fontId="3" fillId="5" borderId="6" xfId="0" applyFont="1" applyFill="1" applyBorder="1" applyAlignment="1">
      <alignment horizontal="center"/>
    </xf>
    <xf numFmtId="164" fontId="2" fillId="2" borderId="2" xfId="0" applyFont="1" applyFill="1" applyBorder="1" applyAlignment="1">
      <alignment horizontal="right"/>
    </xf>
    <xf numFmtId="164" fontId="2" fillId="2" borderId="2" xfId="0" applyFont="1" applyFill="1" applyBorder="1"/>
    <xf numFmtId="164" fontId="3" fillId="2" borderId="10" xfId="0" applyFont="1" applyFill="1" applyBorder="1"/>
    <xf numFmtId="168" fontId="3" fillId="2" borderId="0" xfId="0" applyNumberFormat="1" applyFont="1" applyFill="1" applyAlignment="1" applyProtection="1">
      <alignment horizontal="center"/>
      <protection locked="0"/>
    </xf>
    <xf numFmtId="164" fontId="27" fillId="0" borderId="0" xfId="0" quotePrefix="1" applyFont="1"/>
    <xf numFmtId="164" fontId="28" fillId="0" borderId="0" xfId="0" applyFont="1"/>
    <xf numFmtId="164" fontId="28" fillId="0" borderId="0" xfId="0" applyFont="1" applyAlignment="1">
      <alignment horizontal="center"/>
    </xf>
    <xf numFmtId="11" fontId="11" fillId="0" borderId="0" xfId="0" applyNumberFormat="1" applyFont="1" applyAlignment="1">
      <alignment horizontal="center"/>
    </xf>
    <xf numFmtId="164" fontId="11" fillId="15" borderId="0" xfId="0" applyFont="1" applyFill="1" applyAlignment="1">
      <alignment horizontal="center" wrapText="1"/>
    </xf>
    <xf numFmtId="164" fontId="30" fillId="0" borderId="0" xfId="0" applyFont="1"/>
    <xf numFmtId="164" fontId="3" fillId="15" borderId="0" xfId="0" applyFont="1" applyFill="1"/>
    <xf numFmtId="164" fontId="3" fillId="15" borderId="0" xfId="0" applyFont="1" applyFill="1" applyAlignment="1">
      <alignment horizontal="center"/>
    </xf>
    <xf numFmtId="164" fontId="2" fillId="15" borderId="0" xfId="0" applyFont="1" applyFill="1" applyAlignment="1">
      <alignment horizontal="center" wrapText="1"/>
    </xf>
    <xf numFmtId="164" fontId="12" fillId="0" borderId="0" xfId="0" applyFont="1"/>
    <xf numFmtId="168" fontId="3" fillId="2" borderId="6" xfId="0" applyNumberFormat="1" applyFont="1" applyFill="1" applyBorder="1" applyAlignment="1" applyProtection="1">
      <alignment horizontal="center"/>
      <protection locked="0"/>
    </xf>
    <xf numFmtId="168" fontId="3" fillId="5" borderId="35" xfId="0" applyNumberFormat="1" applyFont="1" applyFill="1" applyBorder="1" applyAlignment="1">
      <alignment horizontal="center"/>
    </xf>
    <xf numFmtId="164" fontId="3" fillId="0" borderId="4" xfId="0" applyFont="1" applyBorder="1"/>
    <xf numFmtId="164" fontId="3" fillId="2" borderId="11" xfId="0" applyFont="1" applyFill="1" applyBorder="1"/>
    <xf numFmtId="2" fontId="3" fillId="5" borderId="0" xfId="0" applyNumberFormat="1" applyFont="1" applyFill="1" applyAlignment="1">
      <alignment horizontal="center"/>
    </xf>
    <xf numFmtId="168" fontId="3" fillId="2" borderId="4" xfId="0" applyNumberFormat="1" applyFont="1" applyFill="1" applyBorder="1" applyAlignment="1" applyProtection="1">
      <alignment horizontal="center"/>
      <protection locked="0"/>
    </xf>
    <xf numFmtId="168" fontId="3" fillId="2" borderId="9" xfId="0" applyNumberFormat="1" applyFont="1" applyFill="1" applyBorder="1" applyAlignment="1" applyProtection="1">
      <alignment horizontal="center"/>
      <protection locked="0"/>
    </xf>
    <xf numFmtId="164" fontId="3" fillId="10" borderId="35" xfId="0" applyFont="1" applyFill="1" applyBorder="1" applyAlignment="1">
      <alignment horizontal="center"/>
    </xf>
    <xf numFmtId="164" fontId="2" fillId="0" borderId="0" xfId="0" applyFont="1"/>
    <xf numFmtId="164" fontId="3" fillId="11" borderId="34" xfId="0" applyFont="1" applyFill="1" applyBorder="1" applyAlignment="1">
      <alignment horizontal="center"/>
    </xf>
    <xf numFmtId="164" fontId="0" fillId="11" borderId="0" xfId="0" applyFill="1"/>
    <xf numFmtId="164" fontId="0" fillId="11" borderId="6" xfId="0" applyFill="1" applyBorder="1"/>
    <xf numFmtId="11" fontId="11" fillId="15" borderId="0" xfId="0" applyNumberFormat="1" applyFont="1" applyFill="1" applyAlignment="1">
      <alignment horizontal="center" wrapText="1"/>
    </xf>
    <xf numFmtId="11" fontId="11" fillId="15" borderId="1" xfId="0" applyNumberFormat="1" applyFont="1" applyFill="1" applyBorder="1" applyAlignment="1">
      <alignment horizontal="center"/>
    </xf>
    <xf numFmtId="164" fontId="11" fillId="15" borderId="1" xfId="0" applyFont="1" applyFill="1" applyBorder="1" applyAlignment="1">
      <alignment horizontal="center"/>
    </xf>
    <xf numFmtId="164" fontId="3" fillId="0" borderId="39" xfId="0" applyFont="1" applyBorder="1" applyAlignment="1">
      <alignment vertical="center" wrapText="1"/>
    </xf>
    <xf numFmtId="164" fontId="3" fillId="0" borderId="0" xfId="0" applyFont="1" applyAlignment="1">
      <alignment vertical="center" wrapText="1"/>
    </xf>
    <xf numFmtId="164" fontId="12" fillId="0" borderId="40" xfId="0" applyFont="1" applyBorder="1" applyAlignment="1">
      <alignment horizontal="center" vertical="center" wrapText="1"/>
    </xf>
    <xf numFmtId="164" fontId="3" fillId="5" borderId="0" xfId="0" applyFont="1" applyFill="1" applyAlignment="1">
      <alignment vertical="center" wrapText="1"/>
    </xf>
    <xf numFmtId="164" fontId="3" fillId="0" borderId="0" xfId="0" applyFont="1" applyAlignment="1">
      <alignment vertical="center"/>
    </xf>
    <xf numFmtId="164" fontId="5" fillId="0" borderId="0" xfId="0" applyFont="1" applyAlignment="1">
      <alignment horizontal="center" vertical="center"/>
    </xf>
    <xf numFmtId="164" fontId="3" fillId="0" borderId="0" xfId="0" applyFont="1" applyAlignment="1">
      <alignment horizontal="center" vertical="center"/>
    </xf>
    <xf numFmtId="164" fontId="2" fillId="0" borderId="38" xfId="0" applyFont="1" applyBorder="1" applyAlignment="1">
      <alignment horizontal="centerContinuous" vertical="center" wrapText="1"/>
    </xf>
    <xf numFmtId="164" fontId="5" fillId="0" borderId="0" xfId="0" applyFont="1" applyAlignment="1">
      <alignment vertical="center"/>
    </xf>
    <xf numFmtId="164" fontId="3" fillId="0" borderId="48" xfId="0" applyFont="1" applyBorder="1" applyAlignment="1">
      <alignment horizontal="center" vertical="center" wrapText="1"/>
    </xf>
    <xf numFmtId="172" fontId="3" fillId="0" borderId="53" xfId="0" applyNumberFormat="1" applyFont="1" applyBorder="1" applyAlignment="1">
      <alignment horizontal="center" vertical="center" wrapText="1"/>
    </xf>
    <xf numFmtId="164" fontId="7" fillId="0" borderId="0" xfId="0" applyFont="1" applyAlignment="1">
      <alignment horizontal="left" vertical="center" wrapText="1"/>
    </xf>
    <xf numFmtId="164" fontId="3" fillId="0" borderId="0" xfId="0" applyFont="1" applyAlignment="1">
      <alignment horizontal="right" vertical="center" wrapText="1"/>
    </xf>
    <xf numFmtId="164" fontId="3" fillId="0" borderId="0" xfId="0" applyFont="1" applyAlignment="1">
      <alignment horizontal="center" vertical="center" wrapText="1"/>
    </xf>
    <xf numFmtId="164" fontId="5" fillId="11" borderId="59" xfId="0" applyFont="1" applyFill="1" applyBorder="1" applyAlignment="1">
      <alignment horizontal="center" vertical="center" wrapText="1"/>
    </xf>
    <xf numFmtId="164" fontId="5" fillId="3" borderId="59" xfId="0" applyFont="1" applyFill="1" applyBorder="1" applyAlignment="1">
      <alignment horizontal="center" vertical="center" wrapText="1"/>
    </xf>
    <xf numFmtId="164" fontId="5" fillId="17" borderId="68" xfId="0" applyFont="1" applyFill="1" applyBorder="1" applyAlignment="1">
      <alignment horizontal="center" vertical="center" wrapText="1"/>
    </xf>
    <xf numFmtId="164" fontId="5" fillId="17" borderId="59" xfId="0" applyFont="1" applyFill="1" applyBorder="1" applyAlignment="1">
      <alignment horizontal="center" vertical="center" wrapText="1"/>
    </xf>
    <xf numFmtId="164" fontId="26" fillId="17" borderId="67" xfId="0" applyFont="1" applyFill="1" applyBorder="1" applyAlignment="1">
      <alignment horizontal="center" vertical="center" wrapText="1"/>
    </xf>
    <xf numFmtId="164" fontId="5" fillId="0" borderId="0" xfId="0" applyFont="1" applyAlignment="1">
      <alignment horizontal="center" vertical="center" wrapText="1"/>
    </xf>
    <xf numFmtId="164" fontId="5" fillId="0" borderId="49" xfId="0" applyFont="1" applyBorder="1" applyAlignment="1">
      <alignment horizontal="center" vertical="center" wrapText="1"/>
    </xf>
    <xf numFmtId="164" fontId="5" fillId="11" borderId="1" xfId="0" applyFont="1" applyFill="1" applyBorder="1" applyAlignment="1">
      <alignment horizontal="center" vertical="center" wrapText="1"/>
    </xf>
    <xf numFmtId="164" fontId="5" fillId="11" borderId="0" xfId="0" applyFont="1" applyFill="1" applyAlignment="1">
      <alignment horizontal="center" vertical="center" wrapText="1"/>
    </xf>
    <xf numFmtId="164" fontId="5" fillId="3" borderId="1" xfId="0" applyFont="1" applyFill="1" applyBorder="1" applyAlignment="1">
      <alignment horizontal="center" vertical="center" wrapText="1"/>
    </xf>
    <xf numFmtId="164" fontId="5" fillId="17" borderId="55" xfId="0" applyFont="1" applyFill="1" applyBorder="1" applyAlignment="1">
      <alignment horizontal="center" vertical="center" wrapText="1"/>
    </xf>
    <xf numFmtId="164" fontId="5" fillId="17" borderId="1" xfId="0" applyFont="1" applyFill="1" applyBorder="1" applyAlignment="1">
      <alignment horizontal="center" vertical="center" wrapText="1"/>
    </xf>
    <xf numFmtId="172" fontId="5" fillId="0" borderId="55" xfId="0" applyNumberFormat="1" applyFont="1" applyBorder="1" applyAlignment="1">
      <alignment horizontal="center" vertical="center" wrapText="1"/>
    </xf>
    <xf numFmtId="164" fontId="26" fillId="11" borderId="67" xfId="0" applyFont="1" applyFill="1" applyBorder="1" applyAlignment="1">
      <alignment horizontal="center" vertical="center" wrapText="1"/>
    </xf>
    <xf numFmtId="164" fontId="5" fillId="11" borderId="62" xfId="0" applyFont="1" applyFill="1" applyBorder="1" applyAlignment="1">
      <alignment horizontal="center" vertical="center" wrapText="1"/>
    </xf>
    <xf numFmtId="164" fontId="26" fillId="17" borderId="68" xfId="0" applyFont="1" applyFill="1" applyBorder="1" applyAlignment="1">
      <alignment horizontal="center" vertical="center" wrapText="1"/>
    </xf>
    <xf numFmtId="164" fontId="5" fillId="17" borderId="54" xfId="0" applyFont="1" applyFill="1" applyBorder="1" applyAlignment="1">
      <alignment horizontal="center" vertical="center" wrapText="1"/>
    </xf>
    <xf numFmtId="164" fontId="34" fillId="0" borderId="51" xfId="0" applyFont="1" applyBorder="1" applyAlignment="1">
      <alignment horizontal="center" vertical="center" wrapText="1"/>
    </xf>
    <xf numFmtId="164" fontId="5" fillId="0" borderId="71" xfId="0" applyFont="1" applyBorder="1" applyAlignment="1">
      <alignment horizontal="center" vertical="center" wrapText="1"/>
    </xf>
    <xf numFmtId="164" fontId="5" fillId="0" borderId="72" xfId="0" applyFont="1" applyBorder="1" applyAlignment="1">
      <alignment horizontal="center" vertical="center" wrapText="1"/>
    </xf>
    <xf numFmtId="164" fontId="3" fillId="0" borderId="52" xfId="0" applyFont="1" applyBorder="1" applyAlignment="1">
      <alignment vertical="center" wrapText="1"/>
    </xf>
    <xf numFmtId="164" fontId="5" fillId="5" borderId="51" xfId="0" applyFont="1" applyFill="1" applyBorder="1" applyAlignment="1">
      <alignment horizontal="center" vertical="center" wrapText="1"/>
    </xf>
    <xf numFmtId="164" fontId="5" fillId="5" borderId="71" xfId="0" applyFont="1" applyFill="1" applyBorder="1" applyAlignment="1">
      <alignment horizontal="center" vertical="center" wrapText="1"/>
    </xf>
    <xf numFmtId="164" fontId="26" fillId="0" borderId="40" xfId="0" applyFont="1" applyBorder="1" applyAlignment="1">
      <alignment horizontal="center" vertical="center" wrapText="1"/>
    </xf>
    <xf numFmtId="164" fontId="26" fillId="0" borderId="0" xfId="0" applyFont="1" applyAlignment="1">
      <alignment horizontal="centerContinuous" vertical="center" wrapText="1"/>
    </xf>
    <xf numFmtId="164" fontId="5" fillId="3" borderId="59" xfId="0" applyFont="1" applyFill="1" applyBorder="1" applyAlignment="1">
      <alignment vertical="center" wrapText="1"/>
    </xf>
    <xf numFmtId="164" fontId="5" fillId="0" borderId="0" xfId="0" applyFont="1" applyAlignment="1">
      <alignment vertical="center" wrapText="1"/>
    </xf>
    <xf numFmtId="164" fontId="5" fillId="3" borderId="0" xfId="0" applyFont="1" applyFill="1" applyAlignment="1">
      <alignment vertical="center" wrapText="1"/>
    </xf>
    <xf numFmtId="164" fontId="26" fillId="17" borderId="54" xfId="0" applyFont="1" applyFill="1" applyBorder="1" applyAlignment="1">
      <alignment horizontal="center" vertical="center" wrapText="1"/>
    </xf>
    <xf numFmtId="164" fontId="26" fillId="17" borderId="0" xfId="0" applyFont="1" applyFill="1" applyAlignment="1">
      <alignment horizontal="center" vertical="center" wrapText="1"/>
    </xf>
    <xf numFmtId="164" fontId="5" fillId="0" borderId="66" xfId="0" applyFont="1" applyBorder="1" applyAlignment="1">
      <alignment horizontal="center" vertical="center" wrapText="1"/>
    </xf>
    <xf numFmtId="164" fontId="5" fillId="0" borderId="73" xfId="0" applyFont="1" applyBorder="1" applyAlignment="1">
      <alignment horizontal="center" vertical="center" wrapText="1"/>
    </xf>
    <xf numFmtId="164" fontId="5" fillId="11" borderId="65" xfId="0" applyFont="1" applyFill="1" applyBorder="1" applyAlignment="1">
      <alignment vertical="center" wrapText="1"/>
    </xf>
    <xf numFmtId="164" fontId="5" fillId="11" borderId="66" xfId="0" applyFont="1" applyFill="1" applyBorder="1" applyAlignment="1">
      <alignment vertical="center" wrapText="1"/>
    </xf>
    <xf numFmtId="164" fontId="5" fillId="3" borderId="66" xfId="0" applyFont="1" applyFill="1" applyBorder="1" applyAlignment="1">
      <alignment vertical="center" wrapText="1"/>
    </xf>
    <xf numFmtId="164" fontId="6" fillId="0" borderId="37" xfId="0" applyFont="1" applyBorder="1" applyAlignment="1">
      <alignment horizontal="center" vertical="center" wrapText="1"/>
    </xf>
    <xf numFmtId="164" fontId="7" fillId="0" borderId="0" xfId="0" applyFont="1" applyAlignment="1">
      <alignment horizontal="left"/>
    </xf>
    <xf numFmtId="164" fontId="7" fillId="0" borderId="0" xfId="0" applyFont="1"/>
    <xf numFmtId="164" fontId="11" fillId="2" borderId="0" xfId="0" applyFont="1" applyFill="1"/>
    <xf numFmtId="164" fontId="7" fillId="2" borderId="0" xfId="0" applyFont="1" applyFill="1"/>
    <xf numFmtId="164" fontId="7" fillId="2" borderId="0" xfId="0" applyFont="1" applyFill="1" applyAlignment="1">
      <alignment horizontal="center"/>
    </xf>
    <xf numFmtId="164" fontId="7" fillId="2" borderId="0" xfId="0" applyFont="1" applyFill="1" applyAlignment="1">
      <alignment horizontal="centerContinuous"/>
    </xf>
    <xf numFmtId="164" fontId="7" fillId="2" borderId="6" xfId="0" applyFont="1" applyFill="1" applyBorder="1"/>
    <xf numFmtId="164" fontId="7" fillId="2" borderId="6" xfId="0" applyFont="1" applyFill="1" applyBorder="1" applyAlignment="1">
      <alignment horizontal="center"/>
    </xf>
    <xf numFmtId="164" fontId="11" fillId="2" borderId="11" xfId="0" applyFont="1" applyFill="1" applyBorder="1"/>
    <xf numFmtId="164" fontId="7" fillId="2" borderId="7" xfId="0" applyFont="1" applyFill="1" applyBorder="1" applyAlignment="1">
      <alignment horizontal="center"/>
    </xf>
    <xf numFmtId="164" fontId="7" fillId="2" borderId="7" xfId="0" applyFont="1" applyFill="1" applyBorder="1"/>
    <xf numFmtId="164" fontId="7" fillId="2" borderId="8" xfId="0" applyFont="1" applyFill="1" applyBorder="1"/>
    <xf numFmtId="2" fontId="7" fillId="2" borderId="8" xfId="0" applyNumberFormat="1" applyFont="1" applyFill="1" applyBorder="1"/>
    <xf numFmtId="164" fontId="11" fillId="2" borderId="2" xfId="0" applyFont="1" applyFill="1" applyBorder="1"/>
    <xf numFmtId="164" fontId="7" fillId="2" borderId="4" xfId="0" applyFont="1" applyFill="1" applyBorder="1"/>
    <xf numFmtId="2" fontId="7" fillId="2" borderId="4" xfId="0" applyNumberFormat="1" applyFont="1" applyFill="1" applyBorder="1" applyAlignment="1">
      <alignment horizontal="center"/>
    </xf>
    <xf numFmtId="164" fontId="7" fillId="2" borderId="2" xfId="0" applyFont="1" applyFill="1" applyBorder="1"/>
    <xf numFmtId="164" fontId="7" fillId="2" borderId="10" xfId="0" applyFont="1" applyFill="1" applyBorder="1" applyAlignment="1">
      <alignment horizontal="right"/>
    </xf>
    <xf numFmtId="169" fontId="11" fillId="2" borderId="6" xfId="0" applyNumberFormat="1" applyFont="1" applyFill="1" applyBorder="1" applyAlignment="1">
      <alignment horizontal="center"/>
    </xf>
    <xf numFmtId="1" fontId="11" fillId="2" borderId="6" xfId="0" applyNumberFormat="1" applyFont="1" applyFill="1" applyBorder="1" applyAlignment="1">
      <alignment horizontal="center"/>
    </xf>
    <xf numFmtId="11" fontId="7" fillId="2" borderId="6" xfId="0" applyNumberFormat="1" applyFont="1" applyFill="1" applyBorder="1" applyProtection="1">
      <protection locked="0"/>
    </xf>
    <xf numFmtId="11" fontId="7" fillId="2" borderId="9" xfId="0" applyNumberFormat="1" applyFont="1" applyFill="1" applyBorder="1" applyProtection="1">
      <protection locked="0"/>
    </xf>
    <xf numFmtId="2" fontId="7" fillId="5" borderId="4" xfId="0" applyNumberFormat="1" applyFont="1" applyFill="1" applyBorder="1" applyAlignment="1">
      <alignment horizontal="center"/>
    </xf>
    <xf numFmtId="169" fontId="7" fillId="2" borderId="0" xfId="0" applyNumberFormat="1" applyFont="1" applyFill="1" applyAlignment="1">
      <alignment horizontal="center"/>
    </xf>
    <xf numFmtId="11" fontId="7" fillId="2" borderId="0" xfId="0" applyNumberFormat="1" applyFont="1" applyFill="1"/>
    <xf numFmtId="11" fontId="7" fillId="2" borderId="4" xfId="0" applyNumberFormat="1" applyFont="1" applyFill="1" applyBorder="1"/>
    <xf numFmtId="164" fontId="7" fillId="2" borderId="4" xfId="0" applyFont="1" applyFill="1" applyBorder="1" applyAlignment="1">
      <alignment horizontal="center"/>
    </xf>
    <xf numFmtId="164" fontId="7" fillId="2" borderId="6" xfId="0" applyFont="1" applyFill="1" applyBorder="1" applyAlignment="1" applyProtection="1">
      <alignment horizontal="center"/>
      <protection locked="0"/>
    </xf>
    <xf numFmtId="164" fontId="7" fillId="2" borderId="9" xfId="0" applyFont="1" applyFill="1" applyBorder="1" applyAlignment="1" applyProtection="1">
      <alignment horizontal="center"/>
      <protection locked="0"/>
    </xf>
    <xf numFmtId="11" fontId="7" fillId="5" borderId="0" xfId="0" applyNumberFormat="1" applyFont="1" applyFill="1"/>
    <xf numFmtId="164" fontId="7" fillId="2" borderId="2" xfId="0" applyFont="1" applyFill="1" applyBorder="1" applyAlignment="1">
      <alignment horizontal="right"/>
    </xf>
    <xf numFmtId="169" fontId="11" fillId="2" borderId="0" xfId="0" applyNumberFormat="1" applyFont="1" applyFill="1" applyAlignment="1">
      <alignment horizontal="center"/>
    </xf>
    <xf numFmtId="1" fontId="11" fillId="2" borderId="0" xfId="0" applyNumberFormat="1" applyFont="1" applyFill="1" applyAlignment="1">
      <alignment horizontal="center"/>
    </xf>
    <xf numFmtId="11" fontId="7" fillId="2" borderId="6" xfId="0" applyNumberFormat="1" applyFont="1" applyFill="1" applyBorder="1"/>
    <xf numFmtId="11" fontId="7" fillId="2" borderId="9" xfId="0" applyNumberFormat="1" applyFont="1" applyFill="1" applyBorder="1"/>
    <xf numFmtId="169" fontId="11" fillId="2" borderId="0" xfId="0" applyNumberFormat="1" applyFont="1" applyFill="1" applyAlignment="1" applyProtection="1">
      <alignment horizontal="center"/>
      <protection locked="0"/>
    </xf>
    <xf numFmtId="164" fontId="7" fillId="2" borderId="0" xfId="0" applyFont="1" applyFill="1" applyProtection="1">
      <protection locked="0"/>
    </xf>
    <xf numFmtId="11" fontId="7" fillId="2" borderId="0" xfId="0" applyNumberFormat="1" applyFont="1" applyFill="1" applyProtection="1">
      <protection locked="0"/>
    </xf>
    <xf numFmtId="11" fontId="7" fillId="2" borderId="8" xfId="0" applyNumberFormat="1" applyFont="1" applyFill="1" applyBorder="1" applyProtection="1">
      <protection locked="0"/>
    </xf>
    <xf numFmtId="164" fontId="7" fillId="0" borderId="0" xfId="0" quotePrefix="1" applyFont="1"/>
    <xf numFmtId="11" fontId="7" fillId="2" borderId="4" xfId="0" applyNumberFormat="1" applyFont="1" applyFill="1" applyBorder="1" applyProtection="1">
      <protection locked="0"/>
    </xf>
    <xf numFmtId="164" fontId="7" fillId="2" borderId="9" xfId="0" applyFont="1" applyFill="1" applyBorder="1" applyAlignment="1">
      <alignment horizontal="center"/>
    </xf>
    <xf numFmtId="164" fontId="7" fillId="2" borderId="0" xfId="0" applyFont="1" applyFill="1" applyAlignment="1" applyProtection="1">
      <alignment horizontal="center"/>
      <protection locked="0"/>
    </xf>
    <xf numFmtId="164" fontId="7" fillId="0" borderId="0" xfId="0" applyFont="1" applyProtection="1">
      <protection locked="0"/>
    </xf>
    <xf numFmtId="164" fontId="7" fillId="2" borderId="10" xfId="0" applyFont="1" applyFill="1" applyBorder="1" applyAlignment="1">
      <alignment horizontal="center"/>
    </xf>
    <xf numFmtId="169" fontId="7" fillId="2" borderId="6" xfId="0" applyNumberFormat="1" applyFont="1" applyFill="1" applyBorder="1"/>
    <xf numFmtId="164" fontId="7" fillId="2" borderId="9" xfId="0" applyFont="1" applyFill="1" applyBorder="1"/>
    <xf numFmtId="169" fontId="7" fillId="2" borderId="0" xfId="0" applyNumberFormat="1" applyFont="1" applyFill="1"/>
    <xf numFmtId="164" fontId="7" fillId="2" borderId="6" xfId="0" applyFont="1" applyFill="1" applyBorder="1" applyProtection="1">
      <protection locked="0"/>
    </xf>
    <xf numFmtId="2" fontId="7" fillId="5" borderId="35" xfId="0" applyNumberFormat="1" applyFont="1" applyFill="1" applyBorder="1" applyAlignment="1">
      <alignment horizontal="center"/>
    </xf>
    <xf numFmtId="164" fontId="7" fillId="2" borderId="4" xfId="0" applyFont="1" applyFill="1" applyBorder="1" applyAlignment="1" applyProtection="1">
      <alignment horizontal="center"/>
      <protection locked="0"/>
    </xf>
    <xf numFmtId="11" fontId="7" fillId="5" borderId="20" xfId="0" applyNumberFormat="1" applyFont="1" applyFill="1" applyBorder="1"/>
    <xf numFmtId="11" fontId="7" fillId="5" borderId="24" xfId="0" applyNumberFormat="1" applyFont="1" applyFill="1" applyBorder="1"/>
    <xf numFmtId="11" fontId="7" fillId="5" borderId="35" xfId="0" applyNumberFormat="1" applyFont="1" applyFill="1" applyBorder="1"/>
    <xf numFmtId="164" fontId="7" fillId="2" borderId="0" xfId="0" applyFont="1" applyFill="1" applyAlignment="1">
      <alignment horizontal="right"/>
    </xf>
    <xf numFmtId="169" fontId="7" fillId="0" borderId="0" xfId="0" applyNumberFormat="1" applyFont="1"/>
    <xf numFmtId="164" fontId="7" fillId="2" borderId="1" xfId="0" applyFont="1" applyFill="1" applyBorder="1"/>
    <xf numFmtId="169" fontId="7" fillId="2" borderId="1" xfId="0" applyNumberFormat="1" applyFont="1" applyFill="1" applyBorder="1" applyAlignment="1">
      <alignment horizontal="center"/>
    </xf>
    <xf numFmtId="164" fontId="7" fillId="2" borderId="1" xfId="0" applyFont="1" applyFill="1" applyBorder="1" applyAlignment="1">
      <alignment horizontal="center"/>
    </xf>
    <xf numFmtId="11" fontId="7" fillId="2" borderId="6" xfId="0" applyNumberFormat="1" applyFont="1" applyFill="1" applyBorder="1" applyAlignment="1">
      <alignment horizontal="center"/>
    </xf>
    <xf numFmtId="169" fontId="7" fillId="2" borderId="6" xfId="0" applyNumberFormat="1" applyFont="1" applyFill="1" applyBorder="1" applyAlignment="1" applyProtection="1">
      <alignment horizontal="center"/>
      <protection locked="0"/>
    </xf>
    <xf numFmtId="0" fontId="7" fillId="2" borderId="6" xfId="0" applyNumberFormat="1" applyFont="1" applyFill="1" applyBorder="1" applyAlignment="1">
      <alignment horizontal="center"/>
    </xf>
    <xf numFmtId="0" fontId="7" fillId="2" borderId="0" xfId="0" applyNumberFormat="1" applyFont="1" applyFill="1" applyAlignment="1">
      <alignment horizontal="center"/>
    </xf>
    <xf numFmtId="11" fontId="7" fillId="2" borderId="0" xfId="0" applyNumberFormat="1" applyFont="1" applyFill="1" applyAlignment="1">
      <alignment horizontal="center"/>
    </xf>
    <xf numFmtId="169" fontId="7" fillId="2" borderId="0" xfId="0" applyNumberFormat="1" applyFont="1" applyFill="1" applyAlignment="1" applyProtection="1">
      <alignment horizontal="center"/>
      <protection locked="0"/>
    </xf>
    <xf numFmtId="11" fontId="7" fillId="2" borderId="6" xfId="0" applyNumberFormat="1" applyFont="1" applyFill="1" applyBorder="1" applyAlignment="1" applyProtection="1">
      <alignment horizontal="center"/>
      <protection locked="0"/>
    </xf>
    <xf numFmtId="11" fontId="7" fillId="2" borderId="9" xfId="0" applyNumberFormat="1" applyFont="1" applyFill="1" applyBorder="1" applyAlignment="1" applyProtection="1">
      <alignment horizontal="center"/>
      <protection locked="0"/>
    </xf>
    <xf numFmtId="164" fontId="7" fillId="2" borderId="10" xfId="0" applyFont="1" applyFill="1" applyBorder="1"/>
    <xf numFmtId="164" fontId="7" fillId="0" borderId="6" xfId="0" applyFont="1" applyBorder="1"/>
    <xf numFmtId="11" fontId="7" fillId="2" borderId="0" xfId="0" applyNumberFormat="1" applyFont="1" applyFill="1" applyAlignment="1" applyProtection="1">
      <alignment horizontal="center"/>
      <protection locked="0"/>
    </xf>
    <xf numFmtId="11" fontId="7" fillId="2" borderId="8" xfId="0" applyNumberFormat="1" applyFont="1" applyFill="1" applyBorder="1" applyAlignment="1" applyProtection="1">
      <alignment horizontal="center"/>
      <protection locked="0"/>
    </xf>
    <xf numFmtId="11" fontId="7" fillId="2" borderId="4" xfId="0" applyNumberFormat="1" applyFont="1" applyFill="1" applyBorder="1" applyAlignment="1" applyProtection="1">
      <alignment horizontal="center"/>
      <protection locked="0"/>
    </xf>
    <xf numFmtId="164" fontId="3" fillId="8" borderId="0" xfId="0" applyFont="1" applyFill="1" applyAlignment="1">
      <alignment vertical="center"/>
    </xf>
    <xf numFmtId="164" fontId="3" fillId="5" borderId="1" xfId="0" applyFont="1" applyFill="1" applyBorder="1" applyAlignment="1">
      <alignment vertical="center"/>
    </xf>
    <xf numFmtId="164" fontId="4" fillId="5" borderId="1" xfId="0" applyFont="1" applyFill="1" applyBorder="1" applyAlignment="1">
      <alignment vertical="center" wrapText="1"/>
    </xf>
    <xf numFmtId="164" fontId="4" fillId="5" borderId="1" xfId="0" applyFont="1" applyFill="1" applyBorder="1" applyAlignment="1">
      <alignment vertical="center"/>
    </xf>
    <xf numFmtId="164" fontId="3" fillId="5" borderId="0" xfId="0" applyFont="1" applyFill="1" applyAlignment="1">
      <alignment vertical="center"/>
    </xf>
    <xf numFmtId="49" fontId="3" fillId="5" borderId="1" xfId="0" applyNumberFormat="1" applyFont="1" applyFill="1" applyBorder="1" applyAlignment="1">
      <alignment vertical="center"/>
    </xf>
    <xf numFmtId="164" fontId="7" fillId="5" borderId="1" xfId="0" applyFont="1" applyFill="1" applyBorder="1" applyAlignment="1">
      <alignment vertical="center"/>
    </xf>
    <xf numFmtId="49" fontId="3" fillId="5" borderId="0" xfId="0" applyNumberFormat="1" applyFont="1" applyFill="1" applyAlignment="1">
      <alignment vertical="center"/>
    </xf>
    <xf numFmtId="164" fontId="24" fillId="5" borderId="0" xfId="1" applyNumberFormat="1" applyFont="1" applyFill="1" applyBorder="1" applyAlignment="1" applyProtection="1">
      <alignment vertical="center" wrapText="1"/>
    </xf>
    <xf numFmtId="164" fontId="7" fillId="5" borderId="0" xfId="0" applyFont="1" applyFill="1" applyAlignment="1">
      <alignment vertical="center"/>
    </xf>
    <xf numFmtId="164" fontId="3" fillId="4" borderId="13" xfId="0" applyFont="1" applyFill="1" applyBorder="1" applyAlignment="1">
      <alignment vertical="center"/>
    </xf>
    <xf numFmtId="164" fontId="3" fillId="4" borderId="15" xfId="0" applyFont="1" applyFill="1" applyBorder="1" applyAlignment="1">
      <alignment vertical="center"/>
    </xf>
    <xf numFmtId="164" fontId="3" fillId="4" borderId="17" xfId="0" applyFont="1" applyFill="1" applyBorder="1" applyAlignment="1">
      <alignment vertical="center"/>
    </xf>
    <xf numFmtId="164" fontId="3" fillId="8" borderId="0" xfId="0" applyFont="1" applyFill="1" applyAlignment="1">
      <alignment vertical="center" wrapText="1"/>
    </xf>
    <xf numFmtId="164" fontId="3" fillId="5" borderId="40" xfId="0" applyFont="1" applyFill="1" applyBorder="1" applyAlignment="1">
      <alignment vertical="center"/>
    </xf>
    <xf numFmtId="164" fontId="3" fillId="5" borderId="41" xfId="0" applyFont="1" applyFill="1" applyBorder="1" applyAlignment="1">
      <alignment vertical="center"/>
    </xf>
    <xf numFmtId="164" fontId="13" fillId="5" borderId="40" xfId="0" applyFont="1" applyFill="1" applyBorder="1" applyAlignment="1">
      <alignment vertical="center"/>
    </xf>
    <xf numFmtId="164" fontId="9" fillId="5" borderId="40" xfId="0" applyFont="1" applyFill="1" applyBorder="1" applyAlignment="1">
      <alignment vertical="center"/>
    </xf>
    <xf numFmtId="164" fontId="3" fillId="5" borderId="0" xfId="0" quotePrefix="1" applyFont="1" applyFill="1" applyAlignment="1">
      <alignment vertical="center"/>
    </xf>
    <xf numFmtId="164" fontId="4" fillId="5" borderId="0" xfId="0" applyFont="1" applyFill="1" applyAlignment="1">
      <alignment vertical="center" wrapText="1"/>
    </xf>
    <xf numFmtId="164" fontId="22" fillId="5" borderId="0" xfId="1" applyNumberFormat="1" applyFont="1" applyFill="1" applyBorder="1" applyAlignment="1" applyProtection="1">
      <alignment vertical="center" wrapText="1"/>
    </xf>
    <xf numFmtId="164" fontId="7" fillId="5" borderId="0" xfId="0" applyFont="1" applyFill="1" applyAlignment="1">
      <alignment vertical="center" wrapText="1"/>
    </xf>
    <xf numFmtId="49" fontId="3" fillId="5" borderId="0" xfId="0" quotePrefix="1" applyNumberFormat="1" applyFont="1" applyFill="1" applyAlignment="1">
      <alignment vertical="center"/>
    </xf>
    <xf numFmtId="164" fontId="22" fillId="5" borderId="0" xfId="1" applyNumberFormat="1" applyFont="1" applyFill="1" applyBorder="1" applyAlignment="1" applyProtection="1">
      <alignment vertical="center"/>
    </xf>
    <xf numFmtId="164" fontId="3" fillId="5" borderId="45" xfId="0" applyFont="1" applyFill="1" applyBorder="1" applyAlignment="1">
      <alignment vertical="center"/>
    </xf>
    <xf numFmtId="164" fontId="3" fillId="5" borderId="46" xfId="0" applyFont="1" applyFill="1" applyBorder="1" applyAlignment="1">
      <alignment vertical="center"/>
    </xf>
    <xf numFmtId="164" fontId="3" fillId="5" borderId="46" xfId="0" applyFont="1" applyFill="1" applyBorder="1" applyAlignment="1">
      <alignment vertical="center" wrapText="1"/>
    </xf>
    <xf numFmtId="164" fontId="3" fillId="5" borderId="47" xfId="0" applyFont="1" applyFill="1" applyBorder="1" applyAlignment="1">
      <alignment vertical="center"/>
    </xf>
    <xf numFmtId="164" fontId="0" fillId="0" borderId="0" xfId="0" applyAlignment="1">
      <alignment vertical="center"/>
    </xf>
    <xf numFmtId="164" fontId="26" fillId="0" borderId="16" xfId="0" applyFont="1" applyBorder="1" applyAlignment="1">
      <alignment horizontal="center" vertical="center"/>
    </xf>
    <xf numFmtId="164" fontId="5" fillId="0" borderId="12" xfId="0" applyFont="1" applyBorder="1" applyAlignment="1">
      <alignment vertical="center"/>
    </xf>
    <xf numFmtId="164" fontId="5" fillId="0" borderId="12" xfId="0" applyFont="1" applyBorder="1" applyAlignment="1">
      <alignment horizontal="center" vertical="center"/>
    </xf>
    <xf numFmtId="164" fontId="26" fillId="0" borderId="12" xfId="0" applyFont="1" applyBorder="1" applyAlignment="1">
      <alignment horizontal="center" vertical="center"/>
    </xf>
    <xf numFmtId="164" fontId="26" fillId="0" borderId="23" xfId="0" applyFont="1" applyBorder="1" applyAlignment="1">
      <alignment horizontal="center" vertical="center"/>
    </xf>
    <xf numFmtId="164" fontId="26" fillId="0" borderId="14" xfId="0" applyFont="1" applyBorder="1" applyAlignment="1">
      <alignment horizontal="center" vertical="center"/>
    </xf>
    <xf numFmtId="164" fontId="26" fillId="0" borderId="0" xfId="0" applyFont="1" applyAlignment="1">
      <alignment horizontal="center" vertical="center"/>
    </xf>
    <xf numFmtId="164" fontId="5" fillId="0" borderId="0" xfId="0" applyFont="1" applyAlignment="1" applyProtection="1">
      <alignment horizontal="center" vertical="center"/>
      <protection locked="0"/>
    </xf>
    <xf numFmtId="164" fontId="5" fillId="0" borderId="26" xfId="0" applyFont="1" applyBorder="1" applyAlignment="1">
      <alignment horizontal="center" vertical="center"/>
    </xf>
    <xf numFmtId="164" fontId="5" fillId="0" borderId="27" xfId="0" applyFont="1" applyBorder="1" applyAlignment="1">
      <alignment horizontal="center" vertical="center"/>
    </xf>
    <xf numFmtId="164" fontId="5" fillId="0" borderId="0" xfId="0" applyFont="1" applyAlignment="1">
      <alignment horizontal="centerContinuous" vertical="center"/>
    </xf>
    <xf numFmtId="164" fontId="5" fillId="0" borderId="0" xfId="0" applyFont="1" applyAlignment="1">
      <alignment horizontal="left" vertical="center"/>
    </xf>
    <xf numFmtId="164" fontId="5" fillId="0" borderId="27" xfId="0" applyFont="1" applyBorder="1" applyAlignment="1">
      <alignment horizontal="centerContinuous" vertical="center"/>
    </xf>
    <xf numFmtId="164" fontId="37" fillId="0" borderId="0" xfId="0" applyFont="1" applyAlignment="1">
      <alignment vertical="center"/>
    </xf>
    <xf numFmtId="164" fontId="26" fillId="0" borderId="9" xfId="0" applyFont="1" applyBorder="1" applyAlignment="1">
      <alignment horizontal="center" vertical="center"/>
    </xf>
    <xf numFmtId="164" fontId="26" fillId="0" borderId="6" xfId="0" applyFont="1" applyBorder="1" applyAlignment="1">
      <alignment horizontal="center" vertical="center"/>
    </xf>
    <xf numFmtId="164" fontId="26" fillId="0" borderId="28" xfId="0" applyFont="1" applyBorder="1" applyAlignment="1">
      <alignment horizontal="center" vertical="center"/>
    </xf>
    <xf numFmtId="164" fontId="26" fillId="0" borderId="27" xfId="0" applyFont="1" applyBorder="1" applyAlignment="1">
      <alignment horizontal="center" vertical="center"/>
    </xf>
    <xf numFmtId="164" fontId="26" fillId="0" borderId="15" xfId="0" applyFont="1" applyBorder="1" applyAlignment="1">
      <alignment horizontal="center" vertical="center"/>
    </xf>
    <xf numFmtId="164" fontId="26" fillId="0" borderId="0" xfId="0" applyFont="1" applyAlignment="1">
      <alignment vertical="center"/>
    </xf>
    <xf numFmtId="164" fontId="5" fillId="0" borderId="27" xfId="0" applyFont="1" applyBorder="1" applyAlignment="1">
      <alignment horizontal="left" vertical="center"/>
    </xf>
    <xf numFmtId="164" fontId="26" fillId="0" borderId="19" xfId="0" applyFont="1" applyBorder="1" applyAlignment="1">
      <alignment horizontal="center" vertical="center"/>
    </xf>
    <xf numFmtId="164" fontId="26" fillId="0" borderId="11" xfId="0" applyFont="1" applyBorder="1" applyAlignment="1">
      <alignment horizontal="center" vertical="center"/>
    </xf>
    <xf numFmtId="164" fontId="26" fillId="0" borderId="7" xfId="0" applyFont="1" applyBorder="1" applyAlignment="1">
      <alignment horizontal="center" vertical="center"/>
    </xf>
    <xf numFmtId="164" fontId="26" fillId="0" borderId="29" xfId="0" applyFont="1" applyBorder="1" applyAlignment="1">
      <alignment horizontal="center" vertical="center"/>
    </xf>
    <xf numFmtId="164" fontId="5" fillId="0" borderId="11" xfId="0" applyFont="1" applyBorder="1" applyAlignment="1">
      <alignment horizontal="center" vertical="center"/>
    </xf>
    <xf numFmtId="164" fontId="26" fillId="0" borderId="8" xfId="0" applyFont="1" applyBorder="1" applyAlignment="1">
      <alignment horizontal="center" vertical="center"/>
    </xf>
    <xf numFmtId="164" fontId="5" fillId="0" borderId="6" xfId="0" applyFont="1" applyBorder="1" applyAlignment="1">
      <alignment horizontal="center" vertical="center"/>
    </xf>
    <xf numFmtId="164" fontId="37" fillId="0" borderId="0" xfId="0" applyFont="1" applyAlignment="1">
      <alignment horizontal="center" vertical="center"/>
    </xf>
    <xf numFmtId="164" fontId="26" fillId="0" borderId="16" xfId="0" applyFont="1" applyBorder="1" applyAlignment="1">
      <alignment vertical="center"/>
    </xf>
    <xf numFmtId="164" fontId="26" fillId="0" borderId="20" xfId="0" applyFont="1" applyBorder="1" applyAlignment="1">
      <alignment horizontal="center" vertical="center"/>
    </xf>
    <xf numFmtId="164" fontId="26" fillId="0" borderId="2" xfId="0" applyFont="1" applyBorder="1" applyAlignment="1">
      <alignment horizontal="center" vertical="center"/>
    </xf>
    <xf numFmtId="164" fontId="26" fillId="0" borderId="4" xfId="0" applyFont="1" applyBorder="1" applyAlignment="1">
      <alignment horizontal="center" vertical="center"/>
    </xf>
    <xf numFmtId="164" fontId="26" fillId="0" borderId="30" xfId="0" applyFont="1" applyBorder="1" applyAlignment="1">
      <alignment horizontal="center" vertical="center"/>
    </xf>
    <xf numFmtId="164" fontId="26" fillId="0" borderId="1" xfId="0" applyFont="1" applyBorder="1" applyAlignment="1">
      <alignment horizontal="center" vertical="center"/>
    </xf>
    <xf numFmtId="164" fontId="26" fillId="0" borderId="18" xfId="0" applyFont="1" applyBorder="1" applyAlignment="1">
      <alignment horizontal="center" vertical="center"/>
    </xf>
    <xf numFmtId="164" fontId="26" fillId="0" borderId="25" xfId="0" applyFont="1" applyBorder="1" applyAlignment="1">
      <alignment horizontal="center" vertical="center"/>
    </xf>
    <xf numFmtId="164" fontId="26" fillId="0" borderId="17" xfId="0" applyFont="1" applyBorder="1" applyAlignment="1">
      <alignment horizontal="center" vertical="center"/>
    </xf>
    <xf numFmtId="164" fontId="26" fillId="0" borderId="3" xfId="0" applyFont="1" applyBorder="1" applyAlignment="1">
      <alignment horizontal="center" vertical="center"/>
    </xf>
    <xf numFmtId="164" fontId="26" fillId="0" borderId="5" xfId="0" applyFont="1" applyBorder="1" applyAlignment="1">
      <alignment horizontal="center" vertical="center"/>
    </xf>
    <xf numFmtId="164" fontId="26" fillId="0" borderId="32" xfId="0" applyFont="1" applyBorder="1" applyAlignment="1">
      <alignment horizontal="center" vertical="center"/>
    </xf>
    <xf numFmtId="164" fontId="26" fillId="0" borderId="33" xfId="0" applyFont="1" applyBorder="1" applyAlignment="1">
      <alignment horizontal="center" vertical="center"/>
    </xf>
    <xf numFmtId="164" fontId="5" fillId="0" borderId="17" xfId="0" applyFont="1" applyBorder="1" applyAlignment="1">
      <alignment horizontal="center" vertical="center"/>
    </xf>
    <xf numFmtId="164" fontId="5" fillId="0" borderId="1" xfId="0" applyFont="1" applyBorder="1" applyAlignment="1">
      <alignment horizontal="center" vertical="center"/>
    </xf>
    <xf numFmtId="164" fontId="5" fillId="0" borderId="1" xfId="0" applyFont="1" applyBorder="1" applyAlignment="1">
      <alignment vertical="center"/>
    </xf>
    <xf numFmtId="14" fontId="5" fillId="0" borderId="0" xfId="0" applyNumberFormat="1" applyFont="1" applyAlignment="1">
      <alignment horizontal="center" vertical="center"/>
    </xf>
    <xf numFmtId="164" fontId="5" fillId="0" borderId="16" xfId="0" applyFont="1" applyBorder="1" applyAlignment="1">
      <alignment horizontal="left" vertical="center"/>
    </xf>
    <xf numFmtId="14" fontId="5" fillId="0" borderId="0" xfId="0" applyNumberFormat="1" applyFont="1" applyAlignment="1">
      <alignment horizontal="left" vertical="center"/>
    </xf>
    <xf numFmtId="164" fontId="37" fillId="0" borderId="0" xfId="0" applyFont="1" applyAlignment="1">
      <alignment vertical="center" wrapText="1"/>
    </xf>
    <xf numFmtId="164" fontId="40" fillId="0" borderId="0" xfId="0" applyFont="1" applyAlignment="1">
      <alignment vertical="center"/>
    </xf>
    <xf numFmtId="164" fontId="37" fillId="0" borderId="21" xfId="0" applyFont="1" applyBorder="1" applyAlignment="1">
      <alignment vertical="center" wrapText="1"/>
    </xf>
    <xf numFmtId="164" fontId="0" fillId="0" borderId="21" xfId="0" applyBorder="1" applyAlignment="1">
      <alignment vertical="center" wrapText="1"/>
    </xf>
    <xf numFmtId="164" fontId="3" fillId="0" borderId="0" xfId="0" applyFont="1" applyAlignment="1">
      <alignment horizontal="left" vertical="center"/>
    </xf>
    <xf numFmtId="164" fontId="5" fillId="0" borderId="21" xfId="0" applyFont="1" applyBorder="1" applyAlignment="1">
      <alignment vertical="center" wrapText="1"/>
    </xf>
    <xf numFmtId="164" fontId="0" fillId="0" borderId="22" xfId="0" applyBorder="1" applyAlignment="1">
      <alignment vertical="center" wrapText="1"/>
    </xf>
    <xf numFmtId="164" fontId="0" fillId="0" borderId="0" xfId="0" applyAlignment="1">
      <alignment vertical="center" wrapText="1"/>
    </xf>
    <xf numFmtId="164" fontId="5" fillId="0" borderId="13" xfId="0" applyFont="1" applyBorder="1" applyAlignment="1">
      <alignment horizontal="left" vertical="center" wrapText="1"/>
    </xf>
    <xf numFmtId="164" fontId="5" fillId="0" borderId="12" xfId="0" applyFont="1" applyBorder="1" applyAlignment="1">
      <alignment horizontal="left" vertical="center" wrapText="1"/>
    </xf>
    <xf numFmtId="164" fontId="5" fillId="0" borderId="12" xfId="0" applyFont="1" applyBorder="1" applyAlignment="1">
      <alignment vertical="center" wrapText="1"/>
    </xf>
    <xf numFmtId="164" fontId="5" fillId="0" borderId="15" xfId="0" applyFont="1" applyBorder="1" applyAlignment="1">
      <alignment horizontal="left" vertical="center" wrapText="1"/>
    </xf>
    <xf numFmtId="164" fontId="5" fillId="0" borderId="0" xfId="0" applyFont="1" applyAlignment="1">
      <alignment horizontal="left" vertical="center" wrapText="1"/>
    </xf>
    <xf numFmtId="164" fontId="5" fillId="0" borderId="15" xfId="0" applyFont="1" applyBorder="1" applyAlignment="1">
      <alignment horizontal="center" vertical="center" wrapText="1"/>
    </xf>
    <xf numFmtId="164" fontId="5" fillId="0" borderId="31" xfId="0" applyFont="1" applyBorder="1" applyAlignment="1">
      <alignment vertical="center" wrapText="1"/>
    </xf>
    <xf numFmtId="164" fontId="5" fillId="0" borderId="6" xfId="0" applyFont="1" applyBorder="1" applyAlignment="1">
      <alignment vertical="center" wrapText="1"/>
    </xf>
    <xf numFmtId="164" fontId="5" fillId="0" borderId="6" xfId="0" applyFont="1" applyBorder="1" applyAlignment="1">
      <alignment horizontal="center" vertical="center" wrapText="1"/>
    </xf>
    <xf numFmtId="164" fontId="5" fillId="0" borderId="17" xfId="0" applyFont="1" applyBorder="1" applyAlignment="1">
      <alignment horizontal="center" vertical="center" wrapText="1"/>
    </xf>
    <xf numFmtId="164" fontId="5" fillId="0" borderId="1" xfId="0" applyFont="1" applyBorder="1" applyAlignment="1">
      <alignment horizontal="center" vertical="center" wrapText="1"/>
    </xf>
    <xf numFmtId="164" fontId="19" fillId="0" borderId="4" xfId="0" applyFont="1" applyBorder="1" applyAlignment="1">
      <alignment horizontal="left" vertical="center" wrapText="1"/>
    </xf>
    <xf numFmtId="164" fontId="5" fillId="0" borderId="4" xfId="0" applyFont="1" applyBorder="1" applyAlignment="1">
      <alignment horizontal="left" vertical="center" wrapText="1"/>
    </xf>
    <xf numFmtId="164" fontId="5" fillId="0" borderId="24" xfId="0" applyFont="1" applyBorder="1" applyAlignment="1">
      <alignment horizontal="center" vertical="center" wrapText="1"/>
    </xf>
    <xf numFmtId="169" fontId="19" fillId="0" borderId="4" xfId="0" applyNumberFormat="1" applyFont="1" applyBorder="1" applyAlignment="1">
      <alignment horizontal="left" vertical="center" wrapText="1"/>
    </xf>
    <xf numFmtId="169" fontId="5" fillId="0" borderId="4" xfId="0" applyNumberFormat="1" applyFont="1" applyBorder="1" applyAlignment="1">
      <alignment horizontal="left" vertical="center" wrapText="1"/>
    </xf>
    <xf numFmtId="164" fontId="19" fillId="0" borderId="4" xfId="0" applyFont="1" applyBorder="1" applyAlignment="1">
      <alignment vertical="center" wrapText="1"/>
    </xf>
    <xf numFmtId="164" fontId="5" fillId="0" borderId="4" xfId="0" applyFont="1" applyBorder="1" applyAlignment="1">
      <alignment vertical="center" wrapText="1"/>
    </xf>
    <xf numFmtId="3" fontId="5" fillId="0" borderId="24" xfId="0" applyNumberFormat="1" applyFont="1" applyBorder="1" applyAlignment="1">
      <alignment horizontal="center" vertical="center" wrapText="1"/>
    </xf>
    <xf numFmtId="164" fontId="19" fillId="0" borderId="0" xfId="0" applyFont="1" applyAlignment="1">
      <alignment horizontal="left" vertical="center" wrapText="1"/>
    </xf>
    <xf numFmtId="164" fontId="5" fillId="0" borderId="16" xfId="0" applyFont="1" applyBorder="1" applyAlignment="1">
      <alignment vertical="center"/>
    </xf>
    <xf numFmtId="164" fontId="5" fillId="0" borderId="16" xfId="0" applyFont="1" applyBorder="1" applyAlignment="1">
      <alignment horizontal="center" vertical="center"/>
    </xf>
    <xf numFmtId="164" fontId="5" fillId="0" borderId="18" xfId="0" applyFont="1" applyBorder="1" applyAlignment="1">
      <alignment horizontal="center" vertical="center"/>
    </xf>
    <xf numFmtId="14" fontId="5" fillId="0" borderId="16" xfId="0" applyNumberFormat="1" applyFont="1" applyBorder="1" applyAlignment="1">
      <alignment horizontal="center" vertical="center"/>
    </xf>
    <xf numFmtId="164" fontId="2" fillId="0" borderId="77" xfId="0" applyFont="1" applyBorder="1" applyAlignment="1" applyProtection="1">
      <alignment horizontal="center" vertical="center"/>
      <protection locked="0"/>
    </xf>
    <xf numFmtId="164" fontId="3" fillId="0" borderId="77" xfId="0" applyFont="1" applyBorder="1" applyAlignment="1">
      <alignment horizontal="left" vertical="center"/>
    </xf>
    <xf numFmtId="164" fontId="5" fillId="0" borderId="56" xfId="0" applyFont="1" applyBorder="1" applyAlignment="1">
      <alignment vertical="center" wrapText="1"/>
    </xf>
    <xf numFmtId="164" fontId="5" fillId="0" borderId="49" xfId="0" applyFont="1" applyBorder="1" applyAlignment="1">
      <alignment vertical="center" wrapText="1"/>
    </xf>
    <xf numFmtId="164" fontId="5" fillId="0" borderId="80" xfId="0" applyFont="1" applyBorder="1" applyAlignment="1">
      <alignment horizontal="center" vertical="center" wrapText="1"/>
    </xf>
    <xf numFmtId="164" fontId="5" fillId="0" borderId="75" xfId="0" applyFont="1" applyBorder="1" applyAlignment="1">
      <alignment horizontal="center" vertical="center" wrapText="1"/>
    </xf>
    <xf numFmtId="164" fontId="5" fillId="0" borderId="81" xfId="0" applyFont="1" applyBorder="1" applyAlignment="1">
      <alignment horizontal="center" vertical="center" wrapText="1"/>
    </xf>
    <xf numFmtId="14" fontId="5" fillId="0" borderId="81" xfId="0" applyNumberFormat="1" applyFont="1" applyBorder="1" applyAlignment="1">
      <alignment horizontal="center" vertical="center" wrapText="1"/>
    </xf>
    <xf numFmtId="164" fontId="19" fillId="0" borderId="84" xfId="0" applyFont="1" applyBorder="1" applyAlignment="1">
      <alignment horizontal="left" vertical="center" wrapText="1"/>
    </xf>
    <xf numFmtId="164" fontId="5" fillId="0" borderId="84" xfId="0" applyFont="1" applyBorder="1" applyAlignment="1">
      <alignment horizontal="left" vertical="center" wrapText="1"/>
    </xf>
    <xf numFmtId="164" fontId="5" fillId="0" borderId="83" xfId="0" applyFont="1" applyBorder="1" applyAlignment="1">
      <alignment horizontal="center" vertical="center" wrapText="1"/>
    </xf>
    <xf numFmtId="164" fontId="5" fillId="0" borderId="85" xfId="0" applyFont="1" applyBorder="1" applyAlignment="1">
      <alignment horizontal="center" vertical="center" wrapText="1"/>
    </xf>
    <xf numFmtId="164" fontId="26" fillId="0" borderId="51" xfId="0" applyFont="1" applyBorder="1" applyAlignment="1">
      <alignment horizontal="center" vertical="center" wrapText="1"/>
    </xf>
    <xf numFmtId="164" fontId="26" fillId="0" borderId="51" xfId="0" applyFont="1" applyBorder="1" applyAlignment="1">
      <alignment vertical="center" wrapText="1"/>
    </xf>
    <xf numFmtId="164" fontId="26" fillId="0" borderId="71" xfId="0" applyFont="1" applyBorder="1" applyAlignment="1">
      <alignment vertical="center" wrapText="1"/>
    </xf>
    <xf numFmtId="164" fontId="23" fillId="0" borderId="0" xfId="0" applyFont="1" applyAlignment="1">
      <alignment vertical="center"/>
    </xf>
    <xf numFmtId="164" fontId="37" fillId="0" borderId="1" xfId="0" applyFont="1" applyBorder="1" applyAlignment="1">
      <alignment vertical="center"/>
    </xf>
    <xf numFmtId="164" fontId="41" fillId="0" borderId="0" xfId="0" applyFont="1"/>
    <xf numFmtId="164" fontId="31" fillId="11" borderId="13" xfId="0" applyFont="1" applyFill="1" applyBorder="1"/>
    <xf numFmtId="164" fontId="0" fillId="11" borderId="12" xfId="0" applyFill="1" applyBorder="1"/>
    <xf numFmtId="164" fontId="0" fillId="11" borderId="14" xfId="0" applyFill="1" applyBorder="1"/>
    <xf numFmtId="164" fontId="3" fillId="11" borderId="15" xfId="0" applyFont="1" applyFill="1" applyBorder="1"/>
    <xf numFmtId="164" fontId="0" fillId="11" borderId="16" xfId="0" applyFill="1" applyBorder="1"/>
    <xf numFmtId="164" fontId="3" fillId="12" borderId="29" xfId="0" applyFont="1" applyFill="1" applyBorder="1"/>
    <xf numFmtId="164" fontId="3" fillId="12" borderId="31" xfId="0" applyFont="1" applyFill="1" applyBorder="1"/>
    <xf numFmtId="164" fontId="0" fillId="11" borderId="31" xfId="0" applyFill="1" applyBorder="1"/>
    <xf numFmtId="164" fontId="0" fillId="11" borderId="28" xfId="0" applyFill="1" applyBorder="1"/>
    <xf numFmtId="164" fontId="3" fillId="15" borderId="15" xfId="0" applyFont="1" applyFill="1" applyBorder="1"/>
    <xf numFmtId="164" fontId="0" fillId="15" borderId="14" xfId="0" applyFill="1" applyBorder="1"/>
    <xf numFmtId="164" fontId="0" fillId="15" borderId="16" xfId="0" applyFill="1" applyBorder="1"/>
    <xf numFmtId="164" fontId="32" fillId="15" borderId="13" xfId="0" applyFont="1" applyFill="1" applyBorder="1"/>
    <xf numFmtId="164" fontId="0" fillId="15" borderId="12" xfId="0" applyFill="1" applyBorder="1"/>
    <xf numFmtId="164" fontId="3" fillId="15" borderId="29" xfId="0" applyFont="1" applyFill="1" applyBorder="1"/>
    <xf numFmtId="164" fontId="2" fillId="15" borderId="7" xfId="0" applyFont="1" applyFill="1" applyBorder="1" applyAlignment="1">
      <alignment horizontal="center"/>
    </xf>
    <xf numFmtId="164" fontId="3" fillId="15" borderId="7" xfId="0" applyFont="1" applyFill="1" applyBorder="1"/>
    <xf numFmtId="164" fontId="2" fillId="15" borderId="90" xfId="0" applyFont="1" applyFill="1" applyBorder="1" applyAlignment="1">
      <alignment horizontal="center"/>
    </xf>
    <xf numFmtId="164" fontId="11" fillId="11" borderId="15" xfId="0" applyFont="1" applyFill="1" applyBorder="1" applyAlignment="1">
      <alignment horizontal="center"/>
    </xf>
    <xf numFmtId="164" fontId="2" fillId="11" borderId="0" xfId="0" applyFont="1" applyFill="1" applyAlignment="1">
      <alignment horizontal="center" wrapText="1"/>
    </xf>
    <xf numFmtId="164" fontId="2" fillId="11" borderId="16" xfId="0" applyFont="1" applyFill="1" applyBorder="1" applyAlignment="1">
      <alignment horizontal="center" wrapText="1"/>
    </xf>
    <xf numFmtId="164" fontId="7" fillId="11" borderId="91" xfId="0" applyFont="1" applyFill="1" applyBorder="1" applyAlignment="1">
      <alignment horizontal="left"/>
    </xf>
    <xf numFmtId="11" fontId="3" fillId="11" borderId="36" xfId="0" applyNumberFormat="1" applyFont="1" applyFill="1" applyBorder="1" applyAlignment="1">
      <alignment horizontal="center"/>
    </xf>
    <xf numFmtId="164" fontId="11" fillId="15" borderId="15" xfId="0" applyFont="1" applyFill="1" applyBorder="1" applyAlignment="1">
      <alignment horizontal="center"/>
    </xf>
    <xf numFmtId="164" fontId="2" fillId="15" borderId="16" xfId="0" applyFont="1" applyFill="1" applyBorder="1" applyAlignment="1">
      <alignment horizontal="center" wrapText="1"/>
    </xf>
    <xf numFmtId="164" fontId="7" fillId="15" borderId="91" xfId="0" applyFont="1" applyFill="1" applyBorder="1" applyAlignment="1">
      <alignment horizontal="left"/>
    </xf>
    <xf numFmtId="164" fontId="3" fillId="15" borderId="36" xfId="0" applyFont="1" applyFill="1" applyBorder="1" applyAlignment="1">
      <alignment horizontal="center"/>
    </xf>
    <xf numFmtId="168" fontId="3" fillId="15" borderId="36" xfId="0" applyNumberFormat="1" applyFont="1" applyFill="1" applyBorder="1" applyAlignment="1">
      <alignment horizontal="center"/>
    </xf>
    <xf numFmtId="170" fontId="3" fillId="15" borderId="36" xfId="0" applyNumberFormat="1" applyFont="1" applyFill="1" applyBorder="1" applyAlignment="1">
      <alignment horizontal="center"/>
    </xf>
    <xf numFmtId="170" fontId="2" fillId="15" borderId="92" xfId="0" applyNumberFormat="1" applyFont="1" applyFill="1" applyBorder="1" applyAlignment="1">
      <alignment horizontal="center"/>
    </xf>
    <xf numFmtId="11" fontId="2" fillId="11" borderId="92" xfId="0" applyNumberFormat="1" applyFont="1" applyFill="1" applyBorder="1" applyAlignment="1">
      <alignment horizontal="center"/>
    </xf>
    <xf numFmtId="164" fontId="3" fillId="2" borderId="8" xfId="0" applyFont="1" applyFill="1" applyBorder="1" applyAlignment="1">
      <alignment horizontal="center" wrapText="1"/>
    </xf>
    <xf numFmtId="164" fontId="3" fillId="2" borderId="4" xfId="0" applyFont="1" applyFill="1" applyBorder="1" applyAlignment="1">
      <alignment horizontal="center" wrapText="1"/>
    </xf>
    <xf numFmtId="164" fontId="11" fillId="15" borderId="93" xfId="0" applyFont="1" applyFill="1" applyBorder="1" applyAlignment="1">
      <alignment horizontal="center" wrapText="1"/>
    </xf>
    <xf numFmtId="165" fontId="5" fillId="12" borderId="94" xfId="0" applyNumberFormat="1" applyFont="1" applyFill="1" applyBorder="1" applyAlignment="1">
      <alignment horizontal="center"/>
    </xf>
    <xf numFmtId="165" fontId="5" fillId="12" borderId="95" xfId="0" applyNumberFormat="1" applyFont="1" applyFill="1" applyBorder="1" applyAlignment="1">
      <alignment horizontal="center"/>
    </xf>
    <xf numFmtId="164" fontId="3" fillId="0" borderId="104" xfId="0" applyFont="1" applyBorder="1" applyAlignment="1">
      <alignment vertical="center" wrapText="1"/>
    </xf>
    <xf numFmtId="164" fontId="12" fillId="0" borderId="105" xfId="0" applyFont="1" applyBorder="1" applyAlignment="1">
      <alignment horizontal="center" vertical="center" wrapText="1"/>
    </xf>
    <xf numFmtId="164" fontId="8" fillId="0" borderId="105" xfId="0" applyFont="1" applyBorder="1" applyAlignment="1">
      <alignment vertical="center" wrapText="1"/>
    </xf>
    <xf numFmtId="164" fontId="5" fillId="0" borderId="111" xfId="0" applyFont="1" applyBorder="1" applyAlignment="1">
      <alignment horizontal="left" vertical="center" wrapText="1"/>
    </xf>
    <xf numFmtId="164" fontId="5" fillId="10" borderId="111" xfId="0" applyFont="1" applyFill="1" applyBorder="1" applyAlignment="1">
      <alignment horizontal="left" vertical="center" wrapText="1"/>
    </xf>
    <xf numFmtId="164" fontId="5" fillId="0" borderId="101" xfId="0" applyFont="1" applyBorder="1" applyAlignment="1">
      <alignment horizontal="center" vertical="center" wrapText="1"/>
    </xf>
    <xf numFmtId="164" fontId="5" fillId="4" borderId="102" xfId="0" applyFont="1" applyFill="1" applyBorder="1" applyAlignment="1">
      <alignment horizontal="center" vertical="center" wrapText="1"/>
    </xf>
    <xf numFmtId="164" fontId="5" fillId="4" borderId="51" xfId="0" applyFont="1" applyFill="1" applyBorder="1" applyAlignment="1">
      <alignment horizontal="center" vertical="center" wrapText="1"/>
    </xf>
    <xf numFmtId="164" fontId="5" fillId="4" borderId="98" xfId="0" applyFont="1" applyFill="1" applyBorder="1" applyAlignment="1">
      <alignment horizontal="center" vertical="center" wrapText="1"/>
    </xf>
    <xf numFmtId="164" fontId="5" fillId="17" borderId="0" xfId="0" applyFont="1" applyFill="1" applyAlignment="1">
      <alignment horizontal="center" vertical="center" wrapText="1"/>
    </xf>
    <xf numFmtId="171" fontId="44" fillId="17" borderId="0" xfId="0" applyNumberFormat="1" applyFont="1" applyFill="1" applyAlignment="1">
      <alignment horizontal="center" vertical="center" wrapText="1"/>
    </xf>
    <xf numFmtId="164" fontId="26" fillId="4" borderId="51" xfId="0" applyFont="1" applyFill="1" applyBorder="1" applyAlignment="1">
      <alignment horizontal="center" vertical="center" wrapText="1"/>
    </xf>
    <xf numFmtId="164" fontId="26" fillId="4" borderId="103" xfId="0" applyFont="1" applyFill="1" applyBorder="1" applyAlignment="1">
      <alignment horizontal="center" vertical="center" wrapText="1"/>
    </xf>
    <xf numFmtId="170" fontId="5" fillId="4" borderId="109" xfId="0" applyNumberFormat="1" applyFont="1" applyFill="1" applyBorder="1" applyAlignment="1">
      <alignment horizontal="center" vertical="center" wrapText="1"/>
    </xf>
    <xf numFmtId="164" fontId="5" fillId="4" borderId="110" xfId="0" applyFont="1" applyFill="1" applyBorder="1" applyAlignment="1">
      <alignment horizontal="center" vertical="center" wrapText="1"/>
    </xf>
    <xf numFmtId="170" fontId="5" fillId="4" borderId="113" xfId="0" applyNumberFormat="1" applyFont="1" applyFill="1" applyBorder="1" applyAlignment="1">
      <alignment horizontal="center" vertical="center" wrapText="1"/>
    </xf>
    <xf numFmtId="164" fontId="5" fillId="4" borderId="114" xfId="0" applyFont="1" applyFill="1" applyBorder="1" applyAlignment="1">
      <alignment horizontal="center" vertical="center" wrapText="1"/>
    </xf>
    <xf numFmtId="11" fontId="5" fillId="0" borderId="112" xfId="0" applyNumberFormat="1" applyFont="1" applyBorder="1" applyAlignment="1">
      <alignment horizontal="center" vertical="center" wrapText="1"/>
    </xf>
    <xf numFmtId="11" fontId="5" fillId="0" borderId="108" xfId="0" applyNumberFormat="1" applyFont="1" applyBorder="1" applyAlignment="1">
      <alignment horizontal="center" vertical="center" wrapText="1"/>
    </xf>
    <xf numFmtId="11" fontId="3" fillId="0" borderId="0" xfId="0" applyNumberFormat="1" applyFont="1" applyAlignment="1">
      <alignment horizontal="center" vertical="center" wrapText="1"/>
    </xf>
    <xf numFmtId="172" fontId="3" fillId="0" borderId="0" xfId="0" applyNumberFormat="1" applyFont="1" applyAlignment="1">
      <alignment horizontal="center" vertical="center" wrapText="1"/>
    </xf>
    <xf numFmtId="164" fontId="5" fillId="4" borderId="106" xfId="0" applyFont="1" applyFill="1" applyBorder="1" applyAlignment="1">
      <alignment horizontal="center" vertical="center" wrapText="1"/>
    </xf>
    <xf numFmtId="171" fontId="3" fillId="0" borderId="0" xfId="0" applyNumberFormat="1" applyFont="1" applyAlignment="1">
      <alignment horizontal="center" vertical="center" wrapText="1"/>
    </xf>
    <xf numFmtId="164" fontId="5" fillId="0" borderId="107" xfId="0" applyFont="1" applyBorder="1" applyAlignment="1">
      <alignment horizontal="left" vertical="center" wrapText="1"/>
    </xf>
    <xf numFmtId="164" fontId="47" fillId="0" borderId="0" xfId="0" applyFont="1"/>
    <xf numFmtId="164" fontId="48" fillId="0" borderId="0" xfId="0" applyFont="1"/>
    <xf numFmtId="11" fontId="49" fillId="0" borderId="0" xfId="0" applyNumberFormat="1" applyFont="1"/>
    <xf numFmtId="11" fontId="48" fillId="0" borderId="0" xfId="0" applyNumberFormat="1" applyFont="1"/>
    <xf numFmtId="164" fontId="47" fillId="13" borderId="0" xfId="0" applyFont="1" applyFill="1"/>
    <xf numFmtId="164" fontId="48" fillId="13" borderId="0" xfId="0" applyFont="1" applyFill="1"/>
    <xf numFmtId="164" fontId="50" fillId="13" borderId="1" xfId="0" applyFont="1" applyFill="1" applyBorder="1" applyAlignment="1">
      <alignment horizontal="center" wrapText="1"/>
    </xf>
    <xf numFmtId="164" fontId="51" fillId="0" borderId="0" xfId="0" applyFont="1"/>
    <xf numFmtId="11" fontId="7" fillId="13" borderId="0" xfId="0" applyNumberFormat="1" applyFont="1" applyFill="1" applyAlignment="1">
      <alignment horizontal="center"/>
    </xf>
    <xf numFmtId="11" fontId="7" fillId="0" borderId="0" xfId="0" applyNumberFormat="1" applyFont="1" applyAlignment="1">
      <alignment horizontal="center"/>
    </xf>
    <xf numFmtId="164" fontId="48" fillId="15" borderId="0" xfId="0" applyFont="1" applyFill="1"/>
    <xf numFmtId="164" fontId="50" fillId="0" borderId="0" xfId="0" applyFont="1"/>
    <xf numFmtId="11" fontId="7" fillId="15" borderId="12" xfId="0" applyNumberFormat="1" applyFont="1" applyFill="1" applyBorder="1" applyAlignment="1">
      <alignment horizontal="center"/>
    </xf>
    <xf numFmtId="11" fontId="48" fillId="15" borderId="0" xfId="0" applyNumberFormat="1" applyFont="1" applyFill="1"/>
    <xf numFmtId="164" fontId="35" fillId="0" borderId="0" xfId="0" applyFont="1"/>
    <xf numFmtId="164" fontId="48" fillId="15" borderId="101" xfId="0" applyFont="1" applyFill="1" applyBorder="1"/>
    <xf numFmtId="164" fontId="11" fillId="16" borderId="67" xfId="0" applyFont="1" applyFill="1" applyBorder="1" applyAlignment="1">
      <alignment horizontal="center" wrapText="1"/>
    </xf>
    <xf numFmtId="164" fontId="11" fillId="13" borderId="38" xfId="0" applyFont="1" applyFill="1" applyBorder="1" applyAlignment="1">
      <alignment horizontal="left"/>
    </xf>
    <xf numFmtId="164" fontId="11" fillId="13" borderId="39" xfId="0" applyFont="1" applyFill="1" applyBorder="1" applyAlignment="1">
      <alignment horizontal="left"/>
    </xf>
    <xf numFmtId="164" fontId="11" fillId="13" borderId="40" xfId="0" applyFont="1" applyFill="1" applyBorder="1" applyAlignment="1">
      <alignment horizontal="left"/>
    </xf>
    <xf numFmtId="164" fontId="48" fillId="13" borderId="41" xfId="0" applyFont="1" applyFill="1" applyBorder="1"/>
    <xf numFmtId="164" fontId="11" fillId="13" borderId="42" xfId="0" applyFont="1" applyFill="1" applyBorder="1" applyAlignment="1">
      <alignment horizontal="center"/>
    </xf>
    <xf numFmtId="164" fontId="50" fillId="13" borderId="74" xfId="0" applyFont="1" applyFill="1" applyBorder="1" applyAlignment="1">
      <alignment horizontal="center" wrapText="1"/>
    </xf>
    <xf numFmtId="164" fontId="7" fillId="13" borderId="40" xfId="0" applyFont="1" applyFill="1" applyBorder="1" applyAlignment="1">
      <alignment horizontal="left"/>
    </xf>
    <xf numFmtId="11" fontId="11" fillId="13" borderId="41" xfId="0" applyNumberFormat="1" applyFont="1" applyFill="1" applyBorder="1" applyAlignment="1">
      <alignment horizontal="center"/>
    </xf>
    <xf numFmtId="164" fontId="48" fillId="13" borderId="40" xfId="0" applyFont="1" applyFill="1" applyBorder="1"/>
    <xf numFmtId="164" fontId="7" fillId="13" borderId="115" xfId="0" applyFont="1" applyFill="1" applyBorder="1" applyAlignment="1">
      <alignment horizontal="left"/>
    </xf>
    <xf numFmtId="164" fontId="48" fillId="0" borderId="40" xfId="0" applyFont="1" applyBorder="1"/>
    <xf numFmtId="164" fontId="48" fillId="0" borderId="41" xfId="0" applyFont="1" applyBorder="1"/>
    <xf numFmtId="164" fontId="50" fillId="15" borderId="116" xfId="0" applyFont="1" applyFill="1" applyBorder="1" applyAlignment="1">
      <alignment horizontal="left"/>
    </xf>
    <xf numFmtId="164" fontId="48" fillId="15" borderId="117" xfId="0" applyFont="1" applyFill="1" applyBorder="1"/>
    <xf numFmtId="164" fontId="11" fillId="15" borderId="40" xfId="0" applyFont="1" applyFill="1" applyBorder="1" applyAlignment="1">
      <alignment horizontal="left"/>
    </xf>
    <xf numFmtId="164" fontId="48" fillId="15" borderId="41" xfId="0" applyFont="1" applyFill="1" applyBorder="1"/>
    <xf numFmtId="164" fontId="48" fillId="15" borderId="40" xfId="0" applyFont="1" applyFill="1" applyBorder="1"/>
    <xf numFmtId="164" fontId="11" fillId="15" borderId="42" xfId="0" applyFont="1" applyFill="1" applyBorder="1" applyAlignment="1">
      <alignment horizontal="center"/>
    </xf>
    <xf numFmtId="164" fontId="7" fillId="15" borderId="43" xfId="0" applyFont="1" applyFill="1" applyBorder="1" applyAlignment="1">
      <alignment horizontal="left"/>
    </xf>
    <xf numFmtId="164" fontId="11" fillId="15" borderId="41" xfId="0" applyFont="1" applyFill="1" applyBorder="1" applyAlignment="1">
      <alignment horizontal="center"/>
    </xf>
    <xf numFmtId="164" fontId="11" fillId="15" borderId="41" xfId="0" applyFont="1" applyFill="1" applyBorder="1" applyAlignment="1">
      <alignment horizontal="center" wrapText="1"/>
    </xf>
    <xf numFmtId="164" fontId="11" fillId="15" borderId="74" xfId="0" applyFont="1" applyFill="1" applyBorder="1" applyAlignment="1">
      <alignment horizontal="center"/>
    </xf>
    <xf numFmtId="11" fontId="7" fillId="15" borderId="44" xfId="0" applyNumberFormat="1" applyFont="1" applyFill="1" applyBorder="1" applyAlignment="1">
      <alignment horizontal="center"/>
    </xf>
    <xf numFmtId="164" fontId="11" fillId="15" borderId="40" xfId="0" applyFont="1" applyFill="1" applyBorder="1" applyAlignment="1">
      <alignment horizontal="center"/>
    </xf>
    <xf numFmtId="164" fontId="48" fillId="15" borderId="46" xfId="0" applyFont="1" applyFill="1" applyBorder="1"/>
    <xf numFmtId="164" fontId="48" fillId="15" borderId="47" xfId="0" applyFont="1" applyFill="1" applyBorder="1"/>
    <xf numFmtId="164" fontId="50" fillId="13" borderId="37" xfId="0" applyFont="1" applyFill="1" applyBorder="1" applyAlignment="1">
      <alignment horizontal="left"/>
    </xf>
    <xf numFmtId="165" fontId="7" fillId="12" borderId="119" xfId="0" applyNumberFormat="1" applyFont="1" applyFill="1" applyBorder="1" applyAlignment="1">
      <alignment horizontal="center"/>
    </xf>
    <xf numFmtId="164" fontId="7" fillId="0" borderId="67" xfId="0" applyFont="1" applyBorder="1" applyAlignment="1">
      <alignment horizontal="center"/>
    </xf>
    <xf numFmtId="164" fontId="7" fillId="12" borderId="121" xfId="0" applyFont="1" applyFill="1" applyBorder="1"/>
    <xf numFmtId="164" fontId="50" fillId="14" borderId="123" xfId="0" applyFont="1" applyFill="1" applyBorder="1" applyAlignment="1">
      <alignment horizontal="center" wrapText="1"/>
    </xf>
    <xf numFmtId="164" fontId="7" fillId="15" borderId="125" xfId="0" applyFont="1" applyFill="1" applyBorder="1" applyAlignment="1">
      <alignment horizontal="left"/>
    </xf>
    <xf numFmtId="11" fontId="5" fillId="0" borderId="127" xfId="0" applyNumberFormat="1" applyFont="1" applyBorder="1" applyAlignment="1">
      <alignment horizontal="center" vertical="center" wrapText="1"/>
    </xf>
    <xf numFmtId="11" fontId="5" fillId="0" borderId="128" xfId="0" applyNumberFormat="1" applyFont="1" applyBorder="1" applyAlignment="1">
      <alignment horizontal="center" vertical="center" wrapText="1"/>
    </xf>
    <xf numFmtId="11" fontId="5" fillId="0" borderId="129" xfId="0" applyNumberFormat="1" applyFont="1" applyBorder="1" applyAlignment="1">
      <alignment horizontal="center" vertical="center" wrapText="1"/>
    </xf>
    <xf numFmtId="11" fontId="5" fillId="0" borderId="130" xfId="0" applyNumberFormat="1" applyFont="1" applyBorder="1" applyAlignment="1">
      <alignment horizontal="center" vertical="center" wrapText="1"/>
    </xf>
    <xf numFmtId="164" fontId="5" fillId="11" borderId="57" xfId="0" applyFont="1" applyFill="1" applyBorder="1" applyAlignment="1">
      <alignment horizontal="center" vertical="center" wrapText="1"/>
    </xf>
    <xf numFmtId="164" fontId="5" fillId="17" borderId="63" xfId="0" applyFont="1" applyFill="1" applyBorder="1" applyAlignment="1">
      <alignment horizontal="center" vertical="center" wrapText="1"/>
    </xf>
    <xf numFmtId="164" fontId="5" fillId="11" borderId="71" xfId="0" applyFont="1" applyFill="1" applyBorder="1" applyAlignment="1">
      <alignment horizontal="center" vertical="center" wrapText="1"/>
    </xf>
    <xf numFmtId="164" fontId="5" fillId="17" borderId="72" xfId="0" applyFont="1" applyFill="1" applyBorder="1" applyAlignment="1">
      <alignment horizontal="center" vertical="center" wrapText="1"/>
    </xf>
    <xf numFmtId="164" fontId="5" fillId="0" borderId="131" xfId="0" applyFont="1" applyBorder="1" applyAlignment="1">
      <alignment horizontal="center" vertical="center" wrapText="1"/>
    </xf>
    <xf numFmtId="164" fontId="5" fillId="0" borderId="62" xfId="0" applyFont="1" applyBorder="1" applyAlignment="1">
      <alignment horizontal="center" vertical="center" wrapText="1"/>
    </xf>
    <xf numFmtId="164" fontId="5" fillId="0" borderId="62" xfId="0" quotePrefix="1" applyFont="1" applyBorder="1" applyAlignment="1">
      <alignment horizontal="center" vertical="center" wrapText="1"/>
    </xf>
    <xf numFmtId="164" fontId="5" fillId="0" borderId="132" xfId="0" applyFont="1" applyBorder="1" applyAlignment="1">
      <alignment horizontal="center" vertical="center" wrapText="1"/>
    </xf>
    <xf numFmtId="11" fontId="5" fillId="0" borderId="133" xfId="0" applyNumberFormat="1" applyFont="1" applyBorder="1" applyAlignment="1">
      <alignment horizontal="center" vertical="center" wrapText="1"/>
    </xf>
    <xf numFmtId="11" fontId="5" fillId="0" borderId="134" xfId="0" applyNumberFormat="1" applyFont="1" applyBorder="1" applyAlignment="1">
      <alignment horizontal="center" vertical="center" wrapText="1"/>
    </xf>
    <xf numFmtId="164" fontId="5" fillId="9" borderId="131" xfId="0" applyFont="1" applyFill="1" applyBorder="1" applyAlignment="1">
      <alignment horizontal="center" vertical="center" wrapText="1"/>
    </xf>
    <xf numFmtId="164" fontId="5" fillId="9" borderId="62" xfId="0" applyFont="1" applyFill="1" applyBorder="1" applyAlignment="1">
      <alignment horizontal="center" vertical="center" wrapText="1"/>
    </xf>
    <xf numFmtId="164" fontId="5" fillId="9" borderId="133" xfId="0" applyFont="1" applyFill="1" applyBorder="1" applyAlignment="1">
      <alignment horizontal="center" vertical="center" wrapText="1"/>
    </xf>
    <xf numFmtId="164" fontId="5" fillId="9" borderId="134" xfId="0" applyFont="1" applyFill="1" applyBorder="1" applyAlignment="1">
      <alignment horizontal="center" vertical="center" wrapText="1"/>
    </xf>
    <xf numFmtId="164" fontId="5" fillId="0" borderId="135" xfId="0" applyFont="1" applyBorder="1" applyAlignment="1">
      <alignment horizontal="center" vertical="center" wrapText="1"/>
    </xf>
    <xf numFmtId="164" fontId="5" fillId="0" borderId="136" xfId="0" applyFont="1" applyBorder="1" applyAlignment="1">
      <alignment horizontal="center" vertical="center" wrapText="1"/>
    </xf>
    <xf numFmtId="164" fontId="5" fillId="0" borderId="54" xfId="0" applyFont="1" applyBorder="1" applyAlignment="1">
      <alignment horizontal="center" vertical="center" wrapText="1"/>
    </xf>
    <xf numFmtId="164" fontId="5" fillId="0" borderId="64" xfId="0" applyFont="1" applyBorder="1" applyAlignment="1">
      <alignment horizontal="center" vertical="center" wrapText="1"/>
    </xf>
    <xf numFmtId="164" fontId="5" fillId="0" borderId="128" xfId="0" applyFont="1" applyBorder="1" applyAlignment="1">
      <alignment horizontal="center" vertical="center" wrapText="1"/>
    </xf>
    <xf numFmtId="164" fontId="5" fillId="0" borderId="130" xfId="0" applyFont="1" applyBorder="1" applyAlignment="1">
      <alignment horizontal="center" vertical="center" wrapText="1"/>
    </xf>
    <xf numFmtId="164" fontId="5" fillId="0" borderId="133" xfId="0" applyFont="1" applyBorder="1" applyAlignment="1">
      <alignment horizontal="center" vertical="center" wrapText="1"/>
    </xf>
    <xf numFmtId="164" fontId="5" fillId="0" borderId="134" xfId="0" applyFont="1" applyBorder="1" applyAlignment="1">
      <alignment horizontal="center" vertical="center" wrapText="1"/>
    </xf>
    <xf numFmtId="164" fontId="5" fillId="0" borderId="55" xfId="0" applyFont="1" applyBorder="1" applyAlignment="1">
      <alignment horizontal="center" vertical="center" wrapText="1"/>
    </xf>
    <xf numFmtId="164" fontId="26" fillId="0" borderId="37" xfId="0" applyFont="1" applyBorder="1" applyAlignment="1">
      <alignment horizontal="center" vertical="center" wrapText="1"/>
    </xf>
    <xf numFmtId="164" fontId="5" fillId="18" borderId="38" xfId="0" applyFont="1" applyFill="1" applyBorder="1" applyAlignment="1">
      <alignment vertical="center" wrapText="1"/>
    </xf>
    <xf numFmtId="164" fontId="5" fillId="5" borderId="52" xfId="0" applyFont="1" applyFill="1" applyBorder="1" applyAlignment="1">
      <alignment horizontal="centerContinuous" vertical="center" wrapText="1"/>
    </xf>
    <xf numFmtId="164" fontId="5" fillId="5" borderId="38" xfId="0" applyFont="1" applyFill="1" applyBorder="1" applyAlignment="1">
      <alignment vertical="center" wrapText="1"/>
    </xf>
    <xf numFmtId="164" fontId="5" fillId="18" borderId="0" xfId="0" applyFont="1" applyFill="1" applyAlignment="1">
      <alignment horizontal="center" vertical="center" wrapText="1"/>
    </xf>
    <xf numFmtId="164" fontId="5" fillId="13" borderId="0" xfId="0" applyFont="1" applyFill="1" applyAlignment="1">
      <alignment horizontal="center" vertical="center" wrapText="1"/>
    </xf>
    <xf numFmtId="164" fontId="5" fillId="5" borderId="0" xfId="0" applyFont="1" applyFill="1" applyAlignment="1">
      <alignment horizontal="center" vertical="center" wrapText="1"/>
    </xf>
    <xf numFmtId="164" fontId="5" fillId="0" borderId="40" xfId="0" applyFont="1" applyBorder="1" applyAlignment="1">
      <alignment vertical="center" wrapText="1"/>
    </xf>
    <xf numFmtId="164" fontId="26" fillId="11" borderId="57" xfId="0" applyFont="1" applyFill="1" applyBorder="1" applyAlignment="1">
      <alignment horizontal="center" vertical="center" wrapText="1"/>
    </xf>
    <xf numFmtId="164" fontId="26" fillId="17" borderId="137" xfId="0" applyFont="1" applyFill="1" applyBorder="1" applyAlignment="1">
      <alignment horizontal="center" vertical="center" wrapText="1"/>
    </xf>
    <xf numFmtId="164" fontId="26" fillId="11" borderId="51" xfId="0" applyFont="1" applyFill="1" applyBorder="1" applyAlignment="1">
      <alignment horizontal="center" vertical="center" wrapText="1"/>
    </xf>
    <xf numFmtId="164" fontId="26" fillId="17" borderId="41" xfId="0" applyFont="1" applyFill="1" applyBorder="1" applyAlignment="1">
      <alignment horizontal="center" vertical="center" wrapText="1"/>
    </xf>
    <xf numFmtId="164" fontId="5" fillId="18" borderId="82" xfId="0" applyFont="1" applyFill="1" applyBorder="1" applyAlignment="1">
      <alignment horizontal="center" vertical="center" wrapText="1"/>
    </xf>
    <xf numFmtId="164" fontId="5" fillId="13" borderId="82" xfId="0" applyFont="1" applyFill="1" applyBorder="1" applyAlignment="1">
      <alignment horizontal="center" vertical="center" wrapText="1"/>
    </xf>
    <xf numFmtId="164" fontId="5" fillId="5" borderId="88" xfId="0" applyFont="1" applyFill="1" applyBorder="1" applyAlignment="1">
      <alignment horizontal="center" vertical="center" wrapText="1"/>
    </xf>
    <xf numFmtId="164" fontId="5" fillId="5" borderId="82" xfId="0" applyFont="1" applyFill="1" applyBorder="1" applyAlignment="1">
      <alignment horizontal="center" vertical="center" wrapText="1"/>
    </xf>
    <xf numFmtId="164" fontId="26" fillId="11" borderId="88" xfId="0" applyFont="1" applyFill="1" applyBorder="1" applyAlignment="1">
      <alignment horizontal="center" vertical="center" wrapText="1"/>
    </xf>
    <xf numFmtId="164" fontId="26" fillId="17" borderId="139" xfId="0" applyFont="1" applyFill="1" applyBorder="1" applyAlignment="1">
      <alignment horizontal="center" vertical="center" wrapText="1"/>
    </xf>
    <xf numFmtId="164" fontId="26" fillId="17" borderId="140" xfId="0" applyFont="1" applyFill="1" applyBorder="1" applyAlignment="1">
      <alignment horizontal="center" vertical="center" wrapText="1"/>
    </xf>
    <xf numFmtId="11" fontId="5" fillId="0" borderId="0" xfId="0" applyNumberFormat="1" applyFont="1" applyAlignment="1">
      <alignment vertical="center" wrapText="1"/>
    </xf>
    <xf numFmtId="164" fontId="5" fillId="7" borderId="0" xfId="0" applyFont="1" applyFill="1" applyAlignment="1">
      <alignment vertical="center" wrapText="1"/>
    </xf>
    <xf numFmtId="164" fontId="5" fillId="13" borderId="51" xfId="0" applyFont="1" applyFill="1" applyBorder="1" applyAlignment="1">
      <alignment horizontal="center" vertical="center" wrapText="1"/>
    </xf>
    <xf numFmtId="164" fontId="5" fillId="13" borderId="49" xfId="0" applyFont="1" applyFill="1" applyBorder="1" applyAlignment="1">
      <alignment horizontal="center" vertical="center" wrapText="1"/>
    </xf>
    <xf numFmtId="164" fontId="5" fillId="13" borderId="88" xfId="0" applyFont="1" applyFill="1" applyBorder="1" applyAlignment="1">
      <alignment horizontal="center" vertical="center" wrapText="1"/>
    </xf>
    <xf numFmtId="164" fontId="5" fillId="13" borderId="89" xfId="0" applyFont="1" applyFill="1" applyBorder="1" applyAlignment="1">
      <alignment horizontal="center" vertical="center" wrapText="1"/>
    </xf>
    <xf numFmtId="49" fontId="3" fillId="5" borderId="0" xfId="0" applyNumberFormat="1" applyFont="1" applyFill="1" applyAlignment="1">
      <alignment horizontal="left" vertical="center" wrapText="1"/>
    </xf>
    <xf numFmtId="172" fontId="5" fillId="0" borderId="54" xfId="0" applyNumberFormat="1" applyFont="1" applyBorder="1" applyAlignment="1">
      <alignment horizontal="center" vertical="center" wrapText="1"/>
    </xf>
    <xf numFmtId="164" fontId="5" fillId="5" borderId="41" xfId="0" applyFont="1" applyFill="1" applyBorder="1" applyAlignment="1">
      <alignment horizontal="center" vertical="center" wrapText="1"/>
    </xf>
    <xf numFmtId="164" fontId="5" fillId="0" borderId="51" xfId="0" applyFont="1" applyBorder="1" applyAlignment="1">
      <alignment horizontal="center" vertical="center" wrapText="1"/>
    </xf>
    <xf numFmtId="164" fontId="6" fillId="0" borderId="40" xfId="0" applyFont="1" applyBorder="1" applyAlignment="1">
      <alignment horizontal="center" vertical="center" wrapText="1"/>
    </xf>
    <xf numFmtId="164" fontId="5" fillId="0" borderId="171" xfId="0" applyFont="1" applyBorder="1" applyAlignment="1">
      <alignment horizontal="left" vertical="center" wrapText="1"/>
    </xf>
    <xf numFmtId="11" fontId="5" fillId="0" borderId="172" xfId="0" applyNumberFormat="1" applyFont="1" applyBorder="1" applyAlignment="1">
      <alignment horizontal="center" vertical="center" wrapText="1"/>
    </xf>
    <xf numFmtId="11" fontId="5" fillId="0" borderId="173" xfId="0" applyNumberFormat="1" applyFont="1" applyBorder="1" applyAlignment="1">
      <alignment horizontal="center" vertical="center" wrapText="1"/>
    </xf>
    <xf numFmtId="11" fontId="5" fillId="0" borderId="174" xfId="0" applyNumberFormat="1" applyFont="1" applyBorder="1" applyAlignment="1">
      <alignment horizontal="center" vertical="center" wrapText="1"/>
    </xf>
    <xf numFmtId="11" fontId="5" fillId="0" borderId="175" xfId="0" applyNumberFormat="1" applyFont="1" applyBorder="1" applyAlignment="1">
      <alignment horizontal="center" vertical="center" wrapText="1"/>
    </xf>
    <xf numFmtId="164" fontId="5" fillId="9" borderId="175" xfId="0" applyFont="1" applyFill="1" applyBorder="1" applyAlignment="1">
      <alignment horizontal="center" vertical="center" wrapText="1"/>
    </xf>
    <xf numFmtId="164" fontId="5" fillId="0" borderId="174" xfId="0" applyFont="1" applyBorder="1" applyAlignment="1">
      <alignment horizontal="center" vertical="center" wrapText="1"/>
    </xf>
    <xf numFmtId="164" fontId="5" fillId="0" borderId="175" xfId="0" applyFont="1" applyBorder="1" applyAlignment="1">
      <alignment horizontal="center" vertical="center" wrapText="1"/>
    </xf>
    <xf numFmtId="170" fontId="5" fillId="4" borderId="176" xfId="0" applyNumberFormat="1" applyFont="1" applyFill="1" applyBorder="1" applyAlignment="1">
      <alignment horizontal="center" vertical="center" wrapText="1"/>
    </xf>
    <xf numFmtId="164" fontId="5" fillId="4" borderId="177" xfId="0" applyFont="1" applyFill="1" applyBorder="1" applyAlignment="1">
      <alignment horizontal="center" vertical="center" wrapText="1"/>
    </xf>
    <xf numFmtId="164" fontId="5" fillId="0" borderId="178" xfId="0" applyFont="1" applyBorder="1" applyAlignment="1">
      <alignment horizontal="left" vertical="center" wrapText="1"/>
    </xf>
    <xf numFmtId="11" fontId="5" fillId="0" borderId="153" xfId="0" applyNumberFormat="1" applyFont="1" applyBorder="1" applyAlignment="1">
      <alignment horizontal="center" vertical="center" wrapText="1"/>
    </xf>
    <xf numFmtId="11" fontId="5" fillId="0" borderId="179" xfId="0" applyNumberFormat="1" applyFont="1" applyBorder="1" applyAlignment="1">
      <alignment horizontal="center" vertical="center" wrapText="1"/>
    </xf>
    <xf numFmtId="11" fontId="5" fillId="0" borderId="180" xfId="0" applyNumberFormat="1" applyFont="1" applyBorder="1" applyAlignment="1">
      <alignment horizontal="center" vertical="center" wrapText="1"/>
    </xf>
    <xf numFmtId="11" fontId="5" fillId="0" borderId="181" xfId="0" applyNumberFormat="1" applyFont="1" applyBorder="1" applyAlignment="1">
      <alignment horizontal="center" vertical="center" wrapText="1"/>
    </xf>
    <xf numFmtId="164" fontId="5" fillId="9" borderId="181" xfId="0" applyFont="1" applyFill="1" applyBorder="1" applyAlignment="1">
      <alignment horizontal="center" vertical="center" wrapText="1"/>
    </xf>
    <xf numFmtId="164" fontId="5" fillId="0" borderId="180" xfId="0" applyFont="1" applyBorder="1" applyAlignment="1">
      <alignment horizontal="center" vertical="center" wrapText="1"/>
    </xf>
    <xf numFmtId="164" fontId="5" fillId="0" borderId="181" xfId="0" applyFont="1" applyBorder="1" applyAlignment="1">
      <alignment horizontal="center" vertical="center" wrapText="1"/>
    </xf>
    <xf numFmtId="170" fontId="5" fillId="4" borderId="151" xfId="0" applyNumberFormat="1" applyFont="1" applyFill="1" applyBorder="1" applyAlignment="1">
      <alignment horizontal="center" vertical="center" wrapText="1"/>
    </xf>
    <xf numFmtId="164" fontId="5" fillId="4" borderId="182" xfId="0" applyFont="1" applyFill="1" applyBorder="1" applyAlignment="1">
      <alignment horizontal="center" vertical="center" wrapText="1"/>
    </xf>
    <xf numFmtId="164" fontId="5" fillId="0" borderId="183" xfId="0" applyFont="1" applyBorder="1" applyAlignment="1">
      <alignment horizontal="left" vertical="center" wrapText="1"/>
    </xf>
    <xf numFmtId="11" fontId="5" fillId="0" borderId="169" xfId="0" applyNumberFormat="1" applyFont="1" applyBorder="1" applyAlignment="1">
      <alignment horizontal="center" vertical="center" wrapText="1"/>
    </xf>
    <xf numFmtId="11" fontId="5" fillId="0" borderId="184" xfId="0" applyNumberFormat="1" applyFont="1" applyBorder="1" applyAlignment="1">
      <alignment horizontal="center" vertical="center" wrapText="1"/>
    </xf>
    <xf numFmtId="11" fontId="5" fillId="0" borderId="185" xfId="0" applyNumberFormat="1" applyFont="1" applyBorder="1" applyAlignment="1">
      <alignment horizontal="center" vertical="center" wrapText="1"/>
    </xf>
    <xf numFmtId="11" fontId="5" fillId="0" borderId="186" xfId="0" applyNumberFormat="1" applyFont="1" applyBorder="1" applyAlignment="1">
      <alignment horizontal="center" vertical="center" wrapText="1"/>
    </xf>
    <xf numFmtId="164" fontId="5" fillId="9" borderId="186" xfId="0" applyFont="1" applyFill="1" applyBorder="1" applyAlignment="1">
      <alignment horizontal="center" vertical="center" wrapText="1"/>
    </xf>
    <xf numFmtId="164" fontId="5" fillId="0" borderId="185" xfId="0" applyFont="1" applyBorder="1" applyAlignment="1">
      <alignment horizontal="center" vertical="center" wrapText="1"/>
    </xf>
    <xf numFmtId="164" fontId="5" fillId="0" borderId="186" xfId="0" applyFont="1" applyBorder="1" applyAlignment="1">
      <alignment horizontal="center" vertical="center" wrapText="1"/>
    </xf>
    <xf numFmtId="170" fontId="5" fillId="4" borderId="187" xfId="0" applyNumberFormat="1" applyFont="1" applyFill="1" applyBorder="1" applyAlignment="1">
      <alignment horizontal="center" vertical="center" wrapText="1"/>
    </xf>
    <xf numFmtId="164" fontId="5" fillId="4" borderId="188" xfId="0" applyFont="1" applyFill="1" applyBorder="1" applyAlignment="1">
      <alignment horizontal="center" vertical="center" wrapText="1"/>
    </xf>
    <xf numFmtId="164" fontId="5" fillId="0" borderId="189" xfId="0" applyFont="1" applyBorder="1" applyAlignment="1">
      <alignment horizontal="left" vertical="center" wrapText="1"/>
    </xf>
    <xf numFmtId="11" fontId="5" fillId="18" borderId="162" xfId="0" applyNumberFormat="1" applyFont="1" applyFill="1" applyBorder="1" applyAlignment="1">
      <alignment horizontal="center" vertical="center" wrapText="1"/>
    </xf>
    <xf numFmtId="164" fontId="5" fillId="18" borderId="162" xfId="0" applyFont="1" applyFill="1" applyBorder="1" applyAlignment="1">
      <alignment horizontal="center" vertical="center" wrapText="1"/>
    </xf>
    <xf numFmtId="2" fontId="5" fillId="13" borderId="190" xfId="0" applyNumberFormat="1" applyFont="1" applyFill="1" applyBorder="1" applyAlignment="1">
      <alignment horizontal="center" vertical="center" wrapText="1"/>
    </xf>
    <xf numFmtId="2" fontId="5" fillId="13" borderId="162" xfId="0" applyNumberFormat="1" applyFont="1" applyFill="1" applyBorder="1" applyAlignment="1">
      <alignment horizontal="center" vertical="center" wrapText="1"/>
    </xf>
    <xf numFmtId="2" fontId="5" fillId="13" borderId="191" xfId="0" applyNumberFormat="1" applyFont="1" applyFill="1" applyBorder="1" applyAlignment="1">
      <alignment horizontal="center" vertical="center" wrapText="1"/>
    </xf>
    <xf numFmtId="11" fontId="5" fillId="5" borderId="190" xfId="0" applyNumberFormat="1" applyFont="1" applyFill="1" applyBorder="1" applyAlignment="1">
      <alignment horizontal="center" vertical="center" wrapText="1"/>
    </xf>
    <xf numFmtId="11" fontId="5" fillId="5" borderId="162" xfId="0" applyNumberFormat="1" applyFont="1" applyFill="1" applyBorder="1" applyAlignment="1">
      <alignment horizontal="center" vertical="center" wrapText="1"/>
    </xf>
    <xf numFmtId="171" fontId="5" fillId="11" borderId="190" xfId="0" applyNumberFormat="1" applyFont="1" applyFill="1" applyBorder="1" applyAlignment="1">
      <alignment horizontal="center" vertical="center" wrapText="1"/>
    </xf>
    <xf numFmtId="170" fontId="5" fillId="17" borderId="192" xfId="0" applyNumberFormat="1" applyFont="1" applyFill="1" applyBorder="1" applyAlignment="1">
      <alignment horizontal="center" vertical="center" wrapText="1"/>
    </xf>
    <xf numFmtId="170" fontId="5" fillId="17" borderId="193" xfId="0" applyNumberFormat="1" applyFont="1" applyFill="1" applyBorder="1" applyAlignment="1">
      <alignment horizontal="center" vertical="center" wrapText="1"/>
    </xf>
    <xf numFmtId="164" fontId="5" fillId="0" borderId="150" xfId="0" applyFont="1" applyBorder="1" applyAlignment="1">
      <alignment horizontal="left" vertical="center" wrapText="1"/>
    </xf>
    <xf numFmtId="11" fontId="5" fillId="18" borderId="153" xfId="0" applyNumberFormat="1" applyFont="1" applyFill="1" applyBorder="1" applyAlignment="1">
      <alignment horizontal="center" vertical="center" wrapText="1"/>
    </xf>
    <xf numFmtId="164" fontId="5" fillId="18" borderId="153" xfId="0" applyFont="1" applyFill="1" applyBorder="1" applyAlignment="1">
      <alignment horizontal="center" vertical="center" wrapText="1"/>
    </xf>
    <xf numFmtId="2" fontId="5" fillId="13" borderId="151" xfId="0" applyNumberFormat="1" applyFont="1" applyFill="1" applyBorder="1" applyAlignment="1">
      <alignment horizontal="center" vertical="center" wrapText="1"/>
    </xf>
    <xf numFmtId="2" fontId="5" fillId="13" borderId="153" xfId="0" applyNumberFormat="1" applyFont="1" applyFill="1" applyBorder="1" applyAlignment="1">
      <alignment horizontal="center" vertical="center" wrapText="1"/>
    </xf>
    <xf numFmtId="2" fontId="5" fillId="13" borderId="152" xfId="0" applyNumberFormat="1" applyFont="1" applyFill="1" applyBorder="1" applyAlignment="1">
      <alignment horizontal="center" vertical="center" wrapText="1"/>
    </xf>
    <xf numFmtId="11" fontId="5" fillId="5" borderId="151" xfId="0" applyNumberFormat="1" applyFont="1" applyFill="1" applyBorder="1" applyAlignment="1">
      <alignment horizontal="center" vertical="center" wrapText="1"/>
    </xf>
    <xf numFmtId="11" fontId="5" fillId="5" borderId="153" xfId="0" applyNumberFormat="1" applyFont="1" applyFill="1" applyBorder="1" applyAlignment="1">
      <alignment horizontal="center" vertical="center" wrapText="1"/>
    </xf>
    <xf numFmtId="171" fontId="5" fillId="11" borderId="151" xfId="0" applyNumberFormat="1" applyFont="1" applyFill="1" applyBorder="1" applyAlignment="1">
      <alignment horizontal="center" vertical="center" wrapText="1"/>
    </xf>
    <xf numFmtId="170" fontId="5" fillId="17" borderId="181" xfId="0" applyNumberFormat="1" applyFont="1" applyFill="1" applyBorder="1" applyAlignment="1">
      <alignment horizontal="center" vertical="center" wrapText="1"/>
    </xf>
    <xf numFmtId="170" fontId="5" fillId="17" borderId="154" xfId="0" applyNumberFormat="1" applyFont="1" applyFill="1" applyBorder="1" applyAlignment="1">
      <alignment horizontal="center" vertical="center" wrapText="1"/>
    </xf>
    <xf numFmtId="164" fontId="5" fillId="10" borderId="194" xfId="0" applyFont="1" applyFill="1" applyBorder="1" applyAlignment="1">
      <alignment horizontal="left" vertical="center" wrapText="1"/>
    </xf>
    <xf numFmtId="164" fontId="5" fillId="0" borderId="150" xfId="0" applyFont="1" applyBorder="1" applyAlignment="1">
      <alignment vertical="center" wrapText="1"/>
    </xf>
    <xf numFmtId="11" fontId="5" fillId="11" borderId="151" xfId="0" applyNumberFormat="1" applyFont="1" applyFill="1" applyBorder="1" applyAlignment="1">
      <alignment horizontal="center" vertical="center" wrapText="1"/>
    </xf>
    <xf numFmtId="164" fontId="5" fillId="0" borderId="155" xfId="0" applyFont="1" applyBorder="1" applyAlignment="1">
      <alignment horizontal="left" vertical="center" wrapText="1"/>
    </xf>
    <xf numFmtId="11" fontId="5" fillId="18" borderId="158" xfId="0" applyNumberFormat="1" applyFont="1" applyFill="1" applyBorder="1" applyAlignment="1">
      <alignment horizontal="center" vertical="center" wrapText="1"/>
    </xf>
    <xf numFmtId="164" fontId="5" fillId="18" borderId="158" xfId="0" applyFont="1" applyFill="1" applyBorder="1" applyAlignment="1">
      <alignment horizontal="center" vertical="center" wrapText="1"/>
    </xf>
    <xf numFmtId="2" fontId="5" fillId="13" borderId="156" xfId="0" applyNumberFormat="1" applyFont="1" applyFill="1" applyBorder="1" applyAlignment="1">
      <alignment horizontal="center" vertical="center" wrapText="1"/>
    </xf>
    <xf numFmtId="2" fontId="5" fillId="13" borderId="158" xfId="0" applyNumberFormat="1" applyFont="1" applyFill="1" applyBorder="1" applyAlignment="1">
      <alignment horizontal="center" vertical="center" wrapText="1"/>
    </xf>
    <xf numFmtId="2" fontId="5" fillId="13" borderId="157" xfId="0" applyNumberFormat="1" applyFont="1" applyFill="1" applyBorder="1" applyAlignment="1">
      <alignment horizontal="center" vertical="center" wrapText="1"/>
    </xf>
    <xf numFmtId="11" fontId="5" fillId="5" borderId="156" xfId="0" applyNumberFormat="1" applyFont="1" applyFill="1" applyBorder="1" applyAlignment="1">
      <alignment horizontal="center" vertical="center" wrapText="1"/>
    </xf>
    <xf numFmtId="11" fontId="5" fillId="5" borderId="158" xfId="0" applyNumberFormat="1" applyFont="1" applyFill="1" applyBorder="1" applyAlignment="1">
      <alignment horizontal="center" vertical="center" wrapText="1"/>
    </xf>
    <xf numFmtId="171" fontId="5" fillId="11" borderId="156" xfId="0" applyNumberFormat="1" applyFont="1" applyFill="1" applyBorder="1" applyAlignment="1">
      <alignment horizontal="center" vertical="center" wrapText="1"/>
    </xf>
    <xf numFmtId="170" fontId="5" fillId="17" borderId="195" xfId="0" applyNumberFormat="1" applyFont="1" applyFill="1" applyBorder="1" applyAlignment="1">
      <alignment horizontal="center" vertical="center" wrapText="1"/>
    </xf>
    <xf numFmtId="170" fontId="5" fillId="17" borderId="159" xfId="0" applyNumberFormat="1" applyFont="1" applyFill="1" applyBorder="1" applyAlignment="1">
      <alignment horizontal="center" vertical="center" wrapText="1"/>
    </xf>
    <xf numFmtId="164" fontId="7" fillId="0" borderId="38" xfId="0" applyFont="1" applyBorder="1" applyAlignment="1">
      <alignment horizontal="center" vertical="center" wrapText="1"/>
    </xf>
    <xf numFmtId="11" fontId="3" fillId="0" borderId="41" xfId="0" applyNumberFormat="1" applyFont="1" applyBorder="1" applyAlignment="1">
      <alignment horizontal="center" vertical="center" wrapText="1"/>
    </xf>
    <xf numFmtId="164" fontId="8" fillId="0" borderId="40" xfId="0" applyFont="1" applyBorder="1" applyAlignment="1">
      <alignment horizontal="center" vertical="center" wrapText="1"/>
    </xf>
    <xf numFmtId="164" fontId="11" fillId="0" borderId="40" xfId="0" applyFont="1" applyBorder="1" applyAlignment="1">
      <alignment horizontal="left" vertical="center" wrapText="1"/>
    </xf>
    <xf numFmtId="164" fontId="7" fillId="0" borderId="196" xfId="0" applyFont="1" applyBorder="1" applyAlignment="1">
      <alignment horizontal="left" vertical="center" wrapText="1"/>
    </xf>
    <xf numFmtId="164" fontId="7" fillId="0" borderId="150" xfId="0" applyFont="1" applyBorder="1" applyAlignment="1">
      <alignment horizontal="left" vertical="center" wrapText="1"/>
    </xf>
    <xf numFmtId="164" fontId="7" fillId="6" borderId="150" xfId="0" applyFont="1" applyFill="1" applyBorder="1" applyAlignment="1">
      <alignment horizontal="left" vertical="center" wrapText="1"/>
    </xf>
    <xf numFmtId="0" fontId="7" fillId="0" borderId="150" xfId="0" applyNumberFormat="1" applyFont="1" applyBorder="1" applyAlignment="1">
      <alignment horizontal="left" vertical="center" wrapText="1"/>
    </xf>
    <xf numFmtId="164" fontId="7" fillId="0" borderId="150" xfId="0" quotePrefix="1" applyFont="1" applyBorder="1" applyAlignment="1">
      <alignment horizontal="left" vertical="center" wrapText="1"/>
    </xf>
    <xf numFmtId="164" fontId="7" fillId="6" borderId="155" xfId="0" applyFont="1" applyFill="1" applyBorder="1" applyAlignment="1">
      <alignment horizontal="left" vertical="center" wrapText="1"/>
    </xf>
    <xf numFmtId="164" fontId="8" fillId="0" borderId="0" xfId="0" applyFont="1" applyAlignment="1">
      <alignment horizontal="center" vertical="center" wrapText="1"/>
    </xf>
    <xf numFmtId="164" fontId="3" fillId="0" borderId="70" xfId="0" applyFont="1" applyBorder="1" applyAlignment="1">
      <alignment horizontal="center" vertical="center" wrapText="1"/>
    </xf>
    <xf numFmtId="11" fontId="5" fillId="0" borderId="197" xfId="0" applyNumberFormat="1" applyFont="1" applyBorder="1" applyAlignment="1">
      <alignment horizontal="center" vertical="center" wrapText="1"/>
    </xf>
    <xf numFmtId="11" fontId="5" fillId="0" borderId="198" xfId="0" applyNumberFormat="1" applyFont="1" applyBorder="1" applyAlignment="1">
      <alignment horizontal="center" vertical="center" wrapText="1"/>
    </xf>
    <xf numFmtId="164" fontId="3" fillId="0" borderId="61" xfId="0" applyFont="1" applyBorder="1" applyAlignment="1">
      <alignment horizontal="center" vertical="center" wrapText="1"/>
    </xf>
    <xf numFmtId="164" fontId="3" fillId="0" borderId="62" xfId="0" applyFont="1" applyBorder="1" applyAlignment="1">
      <alignment horizontal="center" vertical="center" wrapText="1"/>
    </xf>
    <xf numFmtId="11" fontId="5" fillId="0" borderId="201" xfId="0" applyNumberFormat="1" applyFont="1" applyBorder="1" applyAlignment="1">
      <alignment horizontal="center" vertical="center" wrapText="1"/>
    </xf>
    <xf numFmtId="11" fontId="5" fillId="0" borderId="195" xfId="0" applyNumberFormat="1" applyFont="1" applyBorder="1" applyAlignment="1">
      <alignment horizontal="center" vertical="center" wrapText="1"/>
    </xf>
    <xf numFmtId="169" fontId="5" fillId="0" borderId="201" xfId="0" applyNumberFormat="1" applyFont="1" applyBorder="1" applyAlignment="1">
      <alignment horizontal="center" vertical="center" wrapText="1"/>
    </xf>
    <xf numFmtId="169" fontId="5" fillId="0" borderId="181" xfId="0" applyNumberFormat="1" applyFont="1" applyBorder="1" applyAlignment="1">
      <alignment horizontal="center" vertical="center" wrapText="1"/>
    </xf>
    <xf numFmtId="169" fontId="5" fillId="0" borderId="195" xfId="0" applyNumberFormat="1" applyFont="1" applyBorder="1" applyAlignment="1">
      <alignment horizontal="center" vertical="center" wrapText="1"/>
    </xf>
    <xf numFmtId="11" fontId="5" fillId="0" borderId="199" xfId="0" applyNumberFormat="1" applyFont="1" applyBorder="1" applyAlignment="1">
      <alignment horizontal="center" vertical="center" wrapText="1"/>
    </xf>
    <xf numFmtId="11" fontId="5" fillId="0" borderId="200" xfId="0" applyNumberFormat="1" applyFont="1" applyBorder="1" applyAlignment="1">
      <alignment horizontal="center" vertical="center" wrapText="1"/>
    </xf>
    <xf numFmtId="164" fontId="3" fillId="0" borderId="54" xfId="0" applyFont="1" applyBorder="1" applyAlignment="1">
      <alignment horizontal="center" vertical="center" wrapText="1"/>
    </xf>
    <xf numFmtId="164" fontId="3" fillId="0" borderId="64" xfId="0" applyFont="1" applyBorder="1" applyAlignment="1">
      <alignment horizontal="center" vertical="center" wrapText="1"/>
    </xf>
    <xf numFmtId="164" fontId="3" fillId="0" borderId="53" xfId="0" applyFont="1" applyBorder="1" applyAlignment="1">
      <alignment horizontal="center" vertical="center" wrapText="1"/>
    </xf>
    <xf numFmtId="164" fontId="5" fillId="0" borderId="197" xfId="0" applyFont="1" applyBorder="1" applyAlignment="1">
      <alignment horizontal="center" vertical="center" wrapText="1"/>
    </xf>
    <xf numFmtId="164" fontId="5" fillId="0" borderId="198" xfId="0" applyFont="1" applyBorder="1" applyAlignment="1">
      <alignment horizontal="center" vertical="center" wrapText="1"/>
    </xf>
    <xf numFmtId="164" fontId="5" fillId="0" borderId="179" xfId="0" applyFont="1" applyBorder="1" applyAlignment="1">
      <alignment horizontal="center" vertical="center" wrapText="1"/>
    </xf>
    <xf numFmtId="164" fontId="5" fillId="0" borderId="199" xfId="0" applyFont="1" applyBorder="1" applyAlignment="1">
      <alignment horizontal="center" vertical="center" wrapText="1"/>
    </xf>
    <xf numFmtId="164" fontId="5" fillId="0" borderId="200" xfId="0" applyFont="1" applyBorder="1" applyAlignment="1">
      <alignment horizontal="center" vertical="center" wrapText="1"/>
    </xf>
    <xf numFmtId="164" fontId="5" fillId="0" borderId="203" xfId="0" applyFont="1" applyBorder="1" applyAlignment="1">
      <alignment horizontal="center" vertical="center" wrapText="1"/>
    </xf>
    <xf numFmtId="164" fontId="5" fillId="0" borderId="204" xfId="0" applyFont="1" applyBorder="1" applyAlignment="1">
      <alignment horizontal="center" vertical="center" wrapText="1"/>
    </xf>
    <xf numFmtId="164" fontId="5" fillId="0" borderId="202" xfId="0" applyFont="1" applyBorder="1" applyAlignment="1">
      <alignment horizontal="center" vertical="center" wrapText="1"/>
    </xf>
    <xf numFmtId="164" fontId="5" fillId="0" borderId="201" xfId="0" applyFont="1" applyBorder="1" applyAlignment="1">
      <alignment horizontal="center" vertical="center" wrapText="1"/>
    </xf>
    <xf numFmtId="164" fontId="5" fillId="0" borderId="195" xfId="0" applyFont="1" applyBorder="1" applyAlignment="1">
      <alignment horizontal="center" vertical="center" wrapText="1"/>
    </xf>
    <xf numFmtId="11" fontId="26" fillId="0" borderId="206" xfId="0" applyNumberFormat="1" applyFont="1" applyBorder="1" applyAlignment="1">
      <alignment horizontal="center" vertical="center" wrapText="1"/>
    </xf>
    <xf numFmtId="11" fontId="5" fillId="5" borderId="207" xfId="0" applyNumberFormat="1" applyFont="1" applyFill="1" applyBorder="1" applyAlignment="1">
      <alignment horizontal="center" vertical="center" wrapText="1"/>
    </xf>
    <xf numFmtId="11" fontId="5" fillId="5" borderId="208" xfId="0" applyNumberFormat="1" applyFont="1" applyFill="1" applyBorder="1" applyAlignment="1">
      <alignment horizontal="center" vertical="center" wrapText="1"/>
    </xf>
    <xf numFmtId="11" fontId="5" fillId="5" borderId="181" xfId="0" applyNumberFormat="1" applyFont="1" applyFill="1" applyBorder="1" applyAlignment="1">
      <alignment horizontal="center" vertical="center" wrapText="1"/>
    </xf>
    <xf numFmtId="11" fontId="5" fillId="5" borderId="209" xfId="0" applyNumberFormat="1" applyFont="1" applyFill="1" applyBorder="1" applyAlignment="1">
      <alignment horizontal="center" vertical="center" wrapText="1"/>
    </xf>
    <xf numFmtId="11" fontId="5" fillId="5" borderId="195" xfId="0" applyNumberFormat="1" applyFont="1" applyFill="1" applyBorder="1" applyAlignment="1">
      <alignment horizontal="center" vertical="center" wrapText="1"/>
    </xf>
    <xf numFmtId="11" fontId="5" fillId="5" borderId="210" xfId="0" applyNumberFormat="1" applyFont="1" applyFill="1" applyBorder="1" applyAlignment="1">
      <alignment horizontal="center" vertical="center" wrapText="1"/>
    </xf>
    <xf numFmtId="11" fontId="26" fillId="0" borderId="211" xfId="0" applyNumberFormat="1" applyFont="1" applyBorder="1" applyAlignment="1">
      <alignment horizontal="center" vertical="center" wrapText="1"/>
    </xf>
    <xf numFmtId="164" fontId="5" fillId="10" borderId="150" xfId="0" applyFont="1" applyFill="1" applyBorder="1" applyAlignment="1">
      <alignment horizontal="left" vertical="center" wrapText="1"/>
    </xf>
    <xf numFmtId="164" fontId="7" fillId="0" borderId="61" xfId="0" applyFont="1" applyBorder="1" applyAlignment="1">
      <alignment horizontal="center" vertical="center" wrapText="1"/>
    </xf>
    <xf numFmtId="164" fontId="7" fillId="0" borderId="62" xfId="0" applyFont="1" applyBorder="1" applyAlignment="1">
      <alignment horizontal="center" vertical="center" wrapText="1"/>
    </xf>
    <xf numFmtId="170" fontId="5" fillId="0" borderId="181" xfId="0" applyNumberFormat="1" applyFont="1" applyBorder="1" applyAlignment="1">
      <alignment horizontal="center" vertical="center" wrapText="1"/>
    </xf>
    <xf numFmtId="170" fontId="5" fillId="0" borderId="195" xfId="0" applyNumberFormat="1" applyFont="1" applyBorder="1" applyAlignment="1">
      <alignment horizontal="center" vertical="center" wrapText="1"/>
    </xf>
    <xf numFmtId="164" fontId="7" fillId="0" borderId="212" xfId="0" applyFont="1" applyBorder="1" applyAlignment="1">
      <alignment horizontal="center" vertical="center" wrapText="1"/>
    </xf>
    <xf numFmtId="164" fontId="7" fillId="0" borderId="213" xfId="0" applyFont="1" applyBorder="1" applyAlignment="1">
      <alignment horizontal="center" vertical="center" wrapText="1"/>
    </xf>
    <xf numFmtId="170" fontId="5" fillId="0" borderId="214" xfId="0" applyNumberFormat="1" applyFont="1" applyBorder="1" applyAlignment="1">
      <alignment horizontal="center" vertical="center" wrapText="1"/>
    </xf>
    <xf numFmtId="170" fontId="5" fillId="0" borderId="215" xfId="0" applyNumberFormat="1" applyFont="1" applyBorder="1" applyAlignment="1">
      <alignment horizontal="center" vertical="center" wrapText="1"/>
    </xf>
    <xf numFmtId="170" fontId="5" fillId="0" borderId="216" xfId="0" applyNumberFormat="1" applyFont="1" applyBorder="1" applyAlignment="1">
      <alignment horizontal="center" vertical="center" wrapText="1"/>
    </xf>
    <xf numFmtId="164" fontId="5" fillId="0" borderId="61" xfId="0" applyFont="1" applyBorder="1" applyAlignment="1">
      <alignment horizontal="center" vertical="center" wrapText="1"/>
    </xf>
    <xf numFmtId="164" fontId="7" fillId="0" borderId="217" xfId="0" applyFont="1" applyBorder="1" applyAlignment="1">
      <alignment horizontal="center" vertical="center" wrapText="1"/>
    </xf>
    <xf numFmtId="164" fontId="7" fillId="0" borderId="218" xfId="0" applyFont="1" applyBorder="1" applyAlignment="1">
      <alignment horizontal="center" vertical="center" wrapText="1"/>
    </xf>
    <xf numFmtId="168" fontId="5" fillId="0" borderId="201" xfId="0" applyNumberFormat="1" applyFont="1" applyBorder="1" applyAlignment="1">
      <alignment horizontal="center" vertical="center" wrapText="1"/>
    </xf>
    <xf numFmtId="2" fontId="5" fillId="0" borderId="201" xfId="0" applyNumberFormat="1" applyFont="1" applyBorder="1" applyAlignment="1">
      <alignment horizontal="center" vertical="center" wrapText="1"/>
    </xf>
    <xf numFmtId="170" fontId="5" fillId="0" borderId="201" xfId="0" applyNumberFormat="1" applyFont="1" applyBorder="1" applyAlignment="1">
      <alignment horizontal="center" vertical="center" wrapText="1"/>
    </xf>
    <xf numFmtId="170" fontId="5" fillId="0" borderId="219" xfId="0" applyNumberFormat="1" applyFont="1" applyBorder="1" applyAlignment="1">
      <alignment horizontal="center" vertical="center" wrapText="1"/>
    </xf>
    <xf numFmtId="168" fontId="5" fillId="0" borderId="181" xfId="0" applyNumberFormat="1" applyFont="1" applyBorder="1" applyAlignment="1">
      <alignment horizontal="center" vertical="center" wrapText="1"/>
    </xf>
    <xf numFmtId="2" fontId="5" fillId="0" borderId="181" xfId="0" applyNumberFormat="1" applyFont="1" applyBorder="1" applyAlignment="1">
      <alignment horizontal="center" vertical="center" wrapText="1"/>
    </xf>
    <xf numFmtId="170" fontId="5" fillId="0" borderId="220" xfId="0" applyNumberFormat="1" applyFont="1" applyBorder="1" applyAlignment="1">
      <alignment horizontal="center" vertical="center" wrapText="1"/>
    </xf>
    <xf numFmtId="168" fontId="5" fillId="0" borderId="195" xfId="0" applyNumberFormat="1" applyFont="1" applyBorder="1" applyAlignment="1">
      <alignment horizontal="center" vertical="center" wrapText="1"/>
    </xf>
    <xf numFmtId="2" fontId="5" fillId="0" borderId="195" xfId="0" applyNumberFormat="1" applyFont="1" applyBorder="1" applyAlignment="1">
      <alignment horizontal="center" vertical="center" wrapText="1"/>
    </xf>
    <xf numFmtId="170" fontId="5" fillId="0" borderId="221" xfId="0" applyNumberFormat="1" applyFont="1" applyBorder="1" applyAlignment="1">
      <alignment horizontal="center" vertical="center" wrapText="1"/>
    </xf>
    <xf numFmtId="164" fontId="23" fillId="0" borderId="180" xfId="0" applyFont="1" applyBorder="1" applyAlignment="1">
      <alignment horizontal="center" vertical="center" wrapText="1"/>
    </xf>
    <xf numFmtId="164" fontId="5" fillId="0" borderId="213" xfId="0" applyFont="1" applyBorder="1" applyAlignment="1">
      <alignment horizontal="center" vertical="center" wrapText="1"/>
    </xf>
    <xf numFmtId="11" fontId="5" fillId="0" borderId="222" xfId="0" applyNumberFormat="1" applyFont="1" applyBorder="1" applyAlignment="1">
      <alignment horizontal="center" vertical="center" wrapText="1"/>
    </xf>
    <xf numFmtId="11" fontId="5" fillId="0" borderId="219" xfId="0" applyNumberFormat="1" applyFont="1" applyBorder="1" applyAlignment="1">
      <alignment horizontal="center" vertical="center" wrapText="1"/>
    </xf>
    <xf numFmtId="11" fontId="5" fillId="0" borderId="215" xfId="0" applyNumberFormat="1" applyFont="1" applyBorder="1" applyAlignment="1">
      <alignment horizontal="center" vertical="center" wrapText="1"/>
    </xf>
    <xf numFmtId="11" fontId="5" fillId="0" borderId="220" xfId="0" applyNumberFormat="1" applyFont="1" applyBorder="1" applyAlignment="1">
      <alignment horizontal="center" vertical="center" wrapText="1"/>
    </xf>
    <xf numFmtId="164" fontId="3" fillId="0" borderId="52" xfId="0" applyFont="1" applyBorder="1" applyAlignment="1">
      <alignment horizontal="center" vertical="center" wrapText="1"/>
    </xf>
    <xf numFmtId="164" fontId="5" fillId="0" borderId="223" xfId="0" applyFont="1" applyBorder="1" applyAlignment="1">
      <alignment horizontal="center" vertical="center" wrapText="1"/>
    </xf>
    <xf numFmtId="164" fontId="5" fillId="0" borderId="224" xfId="0" applyFont="1" applyBorder="1" applyAlignment="1">
      <alignment horizontal="center" vertical="center" wrapText="1"/>
    </xf>
    <xf numFmtId="164" fontId="5" fillId="0" borderId="53" xfId="0" applyFont="1" applyBorder="1" applyAlignment="1">
      <alignment horizontal="center" vertical="center" wrapText="1"/>
    </xf>
    <xf numFmtId="164" fontId="5" fillId="0" borderId="65" xfId="0" applyFont="1" applyBorder="1" applyAlignment="1">
      <alignment horizontal="center" vertical="center" wrapText="1"/>
    </xf>
    <xf numFmtId="11" fontId="5" fillId="5" borderId="214" xfId="0" applyNumberFormat="1" applyFont="1" applyFill="1" applyBorder="1" applyAlignment="1">
      <alignment horizontal="center" vertical="center" wrapText="1"/>
    </xf>
    <xf numFmtId="11" fontId="5" fillId="5" borderId="215" xfId="0" applyNumberFormat="1" applyFont="1" applyFill="1" applyBorder="1" applyAlignment="1">
      <alignment horizontal="center" vertical="center" wrapText="1"/>
    </xf>
    <xf numFmtId="11" fontId="5" fillId="5" borderId="216" xfId="0" applyNumberFormat="1" applyFont="1" applyFill="1" applyBorder="1" applyAlignment="1">
      <alignment horizontal="center" vertical="center" wrapText="1"/>
    </xf>
    <xf numFmtId="164" fontId="7" fillId="20" borderId="0" xfId="0" applyFont="1" applyFill="1"/>
    <xf numFmtId="164" fontId="5" fillId="0" borderId="225" xfId="0" applyFont="1" applyBorder="1" applyAlignment="1">
      <alignment horizontal="left" vertical="center" wrapText="1"/>
    </xf>
    <xf numFmtId="170" fontId="5" fillId="0" borderId="148" xfId="0" applyNumberFormat="1" applyFont="1" applyBorder="1" applyAlignment="1">
      <alignment horizontal="center" vertical="center"/>
    </xf>
    <xf numFmtId="164" fontId="5" fillId="0" borderId="229" xfId="0" applyFont="1" applyBorder="1" applyAlignment="1">
      <alignment horizontal="left" vertical="center" wrapText="1"/>
    </xf>
    <xf numFmtId="170" fontId="5" fillId="0" borderId="153" xfId="0" applyNumberFormat="1" applyFont="1" applyBorder="1" applyAlignment="1">
      <alignment horizontal="center" vertical="center"/>
    </xf>
    <xf numFmtId="164" fontId="5" fillId="10" borderId="229" xfId="0" applyFont="1" applyFill="1" applyBorder="1" applyAlignment="1">
      <alignment horizontal="left" vertical="center" wrapText="1"/>
    </xf>
    <xf numFmtId="164" fontId="5" fillId="0" borderId="230" xfId="0" applyFont="1" applyBorder="1" applyAlignment="1">
      <alignment horizontal="left" vertical="center" wrapText="1"/>
    </xf>
    <xf numFmtId="170" fontId="5" fillId="0" borderId="158" xfId="0" applyNumberFormat="1" applyFont="1" applyBorder="1" applyAlignment="1">
      <alignment horizontal="center" vertical="center"/>
    </xf>
    <xf numFmtId="164" fontId="7" fillId="0" borderId="160" xfId="0" applyFont="1" applyBorder="1" applyAlignment="1">
      <alignment horizontal="left" vertical="center" wrapText="1"/>
    </xf>
    <xf numFmtId="164" fontId="11" fillId="10" borderId="162" xfId="0" applyFont="1" applyFill="1" applyBorder="1" applyAlignment="1">
      <alignment horizontal="center" vertical="center" wrapText="1"/>
    </xf>
    <xf numFmtId="0" fontId="7" fillId="10" borderId="161" xfId="0" applyNumberFormat="1" applyFont="1" applyFill="1" applyBorder="1" applyAlignment="1">
      <alignment horizontal="center" vertical="center" wrapText="1"/>
    </xf>
    <xf numFmtId="0" fontId="7" fillId="11" borderId="163" xfId="0" applyNumberFormat="1" applyFont="1" applyFill="1" applyBorder="1" applyAlignment="1">
      <alignment horizontal="center" vertical="center" wrapText="1"/>
    </xf>
    <xf numFmtId="164" fontId="7" fillId="0" borderId="164" xfId="0" applyFont="1" applyBorder="1" applyAlignment="1">
      <alignment horizontal="left" vertical="center" wrapText="1"/>
    </xf>
    <xf numFmtId="164" fontId="11" fillId="10" borderId="153" xfId="0" applyFont="1" applyFill="1" applyBorder="1" applyAlignment="1">
      <alignment horizontal="center" vertical="center" wrapText="1"/>
    </xf>
    <xf numFmtId="0" fontId="7" fillId="10" borderId="165" xfId="0" applyNumberFormat="1" applyFont="1" applyFill="1" applyBorder="1" applyAlignment="1">
      <alignment horizontal="center" vertical="center" wrapText="1"/>
    </xf>
    <xf numFmtId="0" fontId="7" fillId="11" borderId="166" xfId="0" applyNumberFormat="1" applyFont="1" applyFill="1" applyBorder="1" applyAlignment="1">
      <alignment horizontal="center" vertical="center" wrapText="1"/>
    </xf>
    <xf numFmtId="164" fontId="7" fillId="10" borderId="153" xfId="0" applyFont="1" applyFill="1" applyBorder="1" applyAlignment="1">
      <alignment horizontal="center" vertical="center" wrapText="1"/>
    </xf>
    <xf numFmtId="164" fontId="7" fillId="10" borderId="164" xfId="0" applyFont="1" applyFill="1" applyBorder="1" applyAlignment="1">
      <alignment horizontal="left" vertical="center" wrapText="1"/>
    </xf>
    <xf numFmtId="164" fontId="7" fillId="0" borderId="167" xfId="0" applyFont="1" applyBorder="1" applyAlignment="1">
      <alignment horizontal="left" vertical="center" wrapText="1"/>
    </xf>
    <xf numFmtId="0" fontId="7" fillId="10" borderId="168" xfId="0" applyNumberFormat="1" applyFont="1" applyFill="1" applyBorder="1" applyAlignment="1">
      <alignment horizontal="center" vertical="center" wrapText="1"/>
    </xf>
    <xf numFmtId="0" fontId="7" fillId="11" borderId="170" xfId="0" applyNumberFormat="1" applyFont="1" applyFill="1" applyBorder="1" applyAlignment="1">
      <alignment horizontal="center" vertical="center" wrapText="1"/>
    </xf>
    <xf numFmtId="164" fontId="6" fillId="0" borderId="0" xfId="0" applyFont="1" applyAlignment="1">
      <alignment horizontal="center" vertical="center" wrapText="1"/>
    </xf>
    <xf numFmtId="164" fontId="0" fillId="0" borderId="0" xfId="0" applyAlignment="1">
      <alignment horizontal="center" vertical="center" wrapText="1"/>
    </xf>
    <xf numFmtId="164" fontId="0" fillId="10" borderId="0" xfId="0" applyFill="1" applyAlignment="1">
      <alignment horizontal="center" vertical="center" wrapText="1"/>
    </xf>
    <xf numFmtId="170" fontId="7" fillId="0" borderId="161" xfId="0" applyNumberFormat="1" applyFont="1" applyBorder="1" applyAlignment="1">
      <alignment horizontal="center" vertical="center" wrapText="1"/>
    </xf>
    <xf numFmtId="170" fontId="7" fillId="0" borderId="165" xfId="0" applyNumberFormat="1" applyFont="1" applyBorder="1" applyAlignment="1">
      <alignment horizontal="center" vertical="center" wrapText="1"/>
    </xf>
    <xf numFmtId="170" fontId="7" fillId="0" borderId="168" xfId="0" applyNumberFormat="1" applyFont="1" applyBorder="1" applyAlignment="1">
      <alignment horizontal="center" vertical="center" wrapText="1"/>
    </xf>
    <xf numFmtId="164" fontId="7" fillId="10" borderId="169" xfId="0" applyFont="1" applyFill="1" applyBorder="1" applyAlignment="1">
      <alignment horizontal="center" vertical="center" wrapText="1"/>
    </xf>
    <xf numFmtId="164" fontId="7" fillId="0" borderId="164" xfId="0" quotePrefix="1" applyFont="1" applyBorder="1" applyAlignment="1">
      <alignment horizontal="left" vertical="center" wrapText="1"/>
    </xf>
    <xf numFmtId="164" fontId="2" fillId="0" borderId="96" xfId="0" applyFont="1" applyBorder="1" applyAlignment="1">
      <alignment horizontal="left" vertical="center" wrapText="1"/>
    </xf>
    <xf numFmtId="0" fontId="2" fillId="10" borderId="100" xfId="0" applyNumberFormat="1" applyFont="1" applyFill="1" applyBorder="1" applyAlignment="1">
      <alignment horizontal="center" vertical="center" wrapText="1"/>
    </xf>
    <xf numFmtId="0" fontId="2" fillId="10" borderId="97" xfId="0" applyNumberFormat="1" applyFont="1" applyFill="1" applyBorder="1" applyAlignment="1">
      <alignment horizontal="center" vertical="center" wrapText="1"/>
    </xf>
    <xf numFmtId="0" fontId="2" fillId="11" borderId="99" xfId="0" applyNumberFormat="1" applyFont="1" applyFill="1" applyBorder="1" applyAlignment="1">
      <alignment horizontal="center" vertical="center" wrapText="1"/>
    </xf>
    <xf numFmtId="164" fontId="3" fillId="0" borderId="52" xfId="0" applyFont="1" applyBorder="1" applyAlignment="1">
      <alignment vertical="center"/>
    </xf>
    <xf numFmtId="164" fontId="7" fillId="0" borderId="48" xfId="0" applyFont="1" applyBorder="1" applyAlignment="1" applyProtection="1">
      <alignment horizontal="center" vertical="center"/>
      <protection locked="0"/>
    </xf>
    <xf numFmtId="164" fontId="7" fillId="0" borderId="52" xfId="0" applyFont="1" applyBorder="1" applyAlignment="1" applyProtection="1">
      <alignment horizontal="center" vertical="center"/>
      <protection locked="0"/>
    </xf>
    <xf numFmtId="164" fontId="7" fillId="0" borderId="38" xfId="0" applyFont="1" applyBorder="1" applyAlignment="1">
      <alignment horizontal="center" vertical="center"/>
    </xf>
    <xf numFmtId="164" fontId="11" fillId="13" borderId="52" xfId="0" applyFont="1" applyFill="1" applyBorder="1" applyAlignment="1">
      <alignment horizontal="centerContinuous" vertical="center"/>
    </xf>
    <xf numFmtId="164" fontId="11" fillId="13" borderId="39" xfId="0" applyFont="1" applyFill="1" applyBorder="1" applyAlignment="1">
      <alignment horizontal="centerContinuous" vertical="center"/>
    </xf>
    <xf numFmtId="164" fontId="9" fillId="0" borderId="0" xfId="0" applyFont="1" applyAlignment="1">
      <alignment vertical="center"/>
    </xf>
    <xf numFmtId="164" fontId="7" fillId="0" borderId="51" xfId="0" applyFont="1" applyBorder="1" applyAlignment="1">
      <alignment horizontal="center" vertical="center"/>
    </xf>
    <xf numFmtId="164" fontId="7" fillId="0" borderId="0" xfId="0" applyFont="1" applyAlignment="1">
      <alignment horizontal="center" vertical="center"/>
    </xf>
    <xf numFmtId="164" fontId="11" fillId="13" borderId="51" xfId="0" applyFont="1" applyFill="1" applyBorder="1" applyAlignment="1">
      <alignment horizontal="centerContinuous" vertical="center"/>
    </xf>
    <xf numFmtId="164" fontId="11" fillId="13" borderId="41" xfId="0" applyFont="1" applyFill="1" applyBorder="1" applyAlignment="1">
      <alignment horizontal="centerContinuous" vertical="center"/>
    </xf>
    <xf numFmtId="164" fontId="7" fillId="0" borderId="51" xfId="0" applyFont="1" applyBorder="1" applyAlignment="1" applyProtection="1">
      <alignment horizontal="center" vertical="center"/>
      <protection locked="0"/>
    </xf>
    <xf numFmtId="164" fontId="3" fillId="13" borderId="51" xfId="0" applyFont="1" applyFill="1" applyBorder="1" applyAlignment="1">
      <alignment horizontal="centerContinuous" vertical="center"/>
    </xf>
    <xf numFmtId="164" fontId="7" fillId="0" borderId="49" xfId="0" applyFont="1" applyBorder="1" applyAlignment="1" applyProtection="1">
      <alignment horizontal="center" vertical="center"/>
      <protection locked="0"/>
    </xf>
    <xf numFmtId="164" fontId="3" fillId="0" borderId="51" xfId="0" applyFont="1" applyBorder="1" applyAlignment="1">
      <alignment vertical="center"/>
    </xf>
    <xf numFmtId="164" fontId="11" fillId="13" borderId="51" xfId="0" applyFont="1" applyFill="1" applyBorder="1" applyAlignment="1">
      <alignment horizontal="center" vertical="center"/>
    </xf>
    <xf numFmtId="164" fontId="11" fillId="13" borderId="41" xfId="0" applyFont="1" applyFill="1" applyBorder="1" applyAlignment="1">
      <alignment horizontal="center" vertical="center"/>
    </xf>
    <xf numFmtId="164" fontId="7" fillId="0" borderId="71" xfId="0" applyFont="1" applyBorder="1" applyAlignment="1" applyProtection="1">
      <alignment horizontal="center" vertical="center"/>
      <protection locked="0"/>
    </xf>
    <xf numFmtId="164" fontId="7" fillId="0" borderId="75" xfId="0" applyFont="1" applyBorder="1" applyAlignment="1" applyProtection="1">
      <alignment horizontal="center" vertical="center"/>
      <protection locked="0"/>
    </xf>
    <xf numFmtId="164" fontId="7" fillId="0" borderId="1" xfId="0" applyFont="1" applyBorder="1" applyAlignment="1">
      <alignment horizontal="center" vertical="center"/>
    </xf>
    <xf numFmtId="164" fontId="11" fillId="13" borderId="74" xfId="0" applyFont="1" applyFill="1" applyBorder="1" applyAlignment="1">
      <alignment horizontal="center" vertical="center"/>
    </xf>
    <xf numFmtId="11" fontId="5" fillId="0" borderId="146" xfId="0" applyNumberFormat="1" applyFont="1" applyBorder="1" applyAlignment="1">
      <alignment horizontal="center" vertical="center"/>
    </xf>
    <xf numFmtId="164" fontId="5" fillId="0" borderId="147" xfId="0" applyFont="1" applyBorder="1" applyAlignment="1">
      <alignment horizontal="left" vertical="center"/>
    </xf>
    <xf numFmtId="164" fontId="5" fillId="0" borderId="146" xfId="0" applyFont="1" applyBorder="1" applyAlignment="1" applyProtection="1">
      <alignment horizontal="center" vertical="center"/>
      <protection locked="0"/>
    </xf>
    <xf numFmtId="164" fontId="5" fillId="0" borderId="148" xfId="0" applyFont="1" applyBorder="1" applyAlignment="1">
      <alignment horizontal="center" vertical="center"/>
    </xf>
    <xf numFmtId="170" fontId="5" fillId="13" borderId="146" xfId="0" applyNumberFormat="1" applyFont="1" applyFill="1" applyBorder="1" applyAlignment="1">
      <alignment horizontal="center" vertical="center"/>
    </xf>
    <xf numFmtId="164" fontId="5" fillId="13" borderId="149" xfId="0" applyFont="1" applyFill="1" applyBorder="1" applyAlignment="1">
      <alignment vertical="center"/>
    </xf>
    <xf numFmtId="164" fontId="8" fillId="0" borderId="0" xfId="0" applyFont="1" applyAlignment="1">
      <alignment vertical="center"/>
    </xf>
    <xf numFmtId="11" fontId="5" fillId="0" borderId="151" xfId="0" applyNumberFormat="1" applyFont="1" applyBorder="1" applyAlignment="1">
      <alignment horizontal="center" vertical="center"/>
    </xf>
    <xf numFmtId="164" fontId="5" fillId="0" borderId="152" xfId="0" applyFont="1" applyBorder="1" applyAlignment="1">
      <alignment horizontal="left" vertical="center"/>
    </xf>
    <xf numFmtId="164" fontId="5" fillId="0" borderId="151" xfId="0" applyFont="1" applyBorder="1" applyAlignment="1" applyProtection="1">
      <alignment horizontal="center" vertical="center"/>
      <protection locked="0"/>
    </xf>
    <xf numFmtId="164" fontId="5" fillId="0" borderId="153" xfId="0" applyFont="1" applyBorder="1" applyAlignment="1">
      <alignment horizontal="center" vertical="center"/>
    </xf>
    <xf numFmtId="170" fontId="5" fillId="13" borderId="151" xfId="0" applyNumberFormat="1" applyFont="1" applyFill="1" applyBorder="1" applyAlignment="1">
      <alignment horizontal="center" vertical="center"/>
    </xf>
    <xf numFmtId="164" fontId="5" fillId="13" borderId="154" xfId="0" applyFont="1" applyFill="1" applyBorder="1" applyAlignment="1">
      <alignment vertical="center"/>
    </xf>
    <xf numFmtId="11" fontId="5" fillId="0" borderId="156" xfId="0" applyNumberFormat="1" applyFont="1" applyBorder="1" applyAlignment="1">
      <alignment horizontal="center" vertical="center"/>
    </xf>
    <xf numFmtId="164" fontId="5" fillId="0" borderId="157" xfId="0" applyFont="1" applyBorder="1" applyAlignment="1">
      <alignment horizontal="left" vertical="center"/>
    </xf>
    <xf numFmtId="164" fontId="5" fillId="0" borderId="156" xfId="0" applyFont="1" applyBorder="1" applyAlignment="1" applyProtection="1">
      <alignment horizontal="center" vertical="center"/>
      <protection locked="0"/>
    </xf>
    <xf numFmtId="164" fontId="5" fillId="0" borderId="158" xfId="0" applyFont="1" applyBorder="1" applyAlignment="1">
      <alignment horizontal="center" vertical="center"/>
    </xf>
    <xf numFmtId="170" fontId="5" fillId="13" borderId="156" xfId="0" applyNumberFormat="1" applyFont="1" applyFill="1" applyBorder="1" applyAlignment="1">
      <alignment horizontal="center" vertical="center"/>
    </xf>
    <xf numFmtId="164" fontId="5" fillId="13" borderId="159" xfId="0" applyFont="1" applyFill="1" applyBorder="1" applyAlignment="1">
      <alignment vertical="center"/>
    </xf>
    <xf numFmtId="164" fontId="5" fillId="0" borderId="38" xfId="0" applyFont="1" applyBorder="1" applyAlignment="1" applyProtection="1">
      <alignment vertical="center"/>
      <protection locked="0"/>
    </xf>
    <xf numFmtId="164" fontId="5" fillId="0" borderId="0" xfId="0" applyFont="1" applyAlignment="1" applyProtection="1">
      <alignment vertical="center"/>
      <protection locked="0"/>
    </xf>
    <xf numFmtId="0" fontId="5" fillId="0" borderId="0" xfId="0" applyNumberFormat="1" applyFont="1" applyAlignment="1">
      <alignment vertical="center"/>
    </xf>
    <xf numFmtId="164" fontId="5" fillId="0" borderId="143" xfId="0" applyFont="1" applyBorder="1" applyAlignment="1">
      <alignment horizontal="left" vertical="center" wrapText="1"/>
    </xf>
    <xf numFmtId="49" fontId="5" fillId="0" borderId="144" xfId="0" applyNumberFormat="1" applyFont="1" applyBorder="1" applyAlignment="1">
      <alignment horizontal="center" vertical="center"/>
    </xf>
    <xf numFmtId="164" fontId="5" fillId="0" borderId="231" xfId="0" applyFont="1" applyBorder="1" applyAlignment="1">
      <alignment vertical="center"/>
    </xf>
    <xf numFmtId="164" fontId="5" fillId="0" borderId="144" xfId="0" applyFont="1" applyBorder="1" applyAlignment="1">
      <alignment horizontal="center" vertical="center"/>
    </xf>
    <xf numFmtId="164" fontId="5" fillId="0" borderId="232" xfId="0" applyFont="1" applyBorder="1" applyAlignment="1">
      <alignment horizontal="center" vertical="center"/>
    </xf>
    <xf numFmtId="164" fontId="5" fillId="0" borderId="234" xfId="0" applyFont="1" applyBorder="1" applyAlignment="1">
      <alignment horizontal="center" vertical="center"/>
    </xf>
    <xf numFmtId="164" fontId="5" fillId="0" borderId="235" xfId="0" applyFont="1" applyBorder="1" applyAlignment="1">
      <alignment horizontal="center" vertical="center"/>
    </xf>
    <xf numFmtId="164" fontId="5" fillId="0" borderId="236" xfId="0" applyFont="1" applyBorder="1" applyAlignment="1">
      <alignment horizontal="center" vertical="center"/>
    </xf>
    <xf numFmtId="164" fontId="5" fillId="0" borderId="237" xfId="0" applyFont="1" applyBorder="1" applyAlignment="1">
      <alignment horizontal="center" vertical="center"/>
    </xf>
    <xf numFmtId="164" fontId="5" fillId="0" borderId="231" xfId="0" applyFont="1" applyBorder="1" applyAlignment="1">
      <alignment horizontal="center" vertical="center"/>
    </xf>
    <xf numFmtId="164" fontId="5" fillId="0" borderId="235" xfId="0" applyFont="1" applyBorder="1" applyAlignment="1">
      <alignment horizontal="left" vertical="center"/>
    </xf>
    <xf numFmtId="164" fontId="5" fillId="0" borderId="231" xfId="0" applyFont="1" applyBorder="1" applyAlignment="1">
      <alignment horizontal="left" vertical="center"/>
    </xf>
    <xf numFmtId="164" fontId="5" fillId="0" borderId="142" xfId="0" applyFont="1" applyBorder="1" applyAlignment="1">
      <alignment horizontal="left" vertical="center" wrapText="1"/>
    </xf>
    <xf numFmtId="49" fontId="5" fillId="0" borderId="141" xfId="0" applyNumberFormat="1" applyFont="1" applyBorder="1" applyAlignment="1">
      <alignment horizontal="center" vertical="center"/>
    </xf>
    <xf numFmtId="164" fontId="5" fillId="0" borderId="238" xfId="0" applyFont="1" applyBorder="1" applyAlignment="1">
      <alignment vertical="center"/>
    </xf>
    <xf numFmtId="164" fontId="5" fillId="0" borderId="141" xfId="0" applyFont="1" applyBorder="1" applyAlignment="1">
      <alignment horizontal="center" vertical="center"/>
    </xf>
    <xf numFmtId="164" fontId="5" fillId="0" borderId="239" xfId="0" applyFont="1" applyBorder="1" applyAlignment="1">
      <alignment horizontal="center" vertical="center"/>
    </xf>
    <xf numFmtId="164" fontId="5" fillId="0" borderId="241" xfId="0" applyFont="1" applyBorder="1" applyAlignment="1">
      <alignment horizontal="center" vertical="center"/>
    </xf>
    <xf numFmtId="164" fontId="5" fillId="0" borderId="242" xfId="0" applyFont="1" applyBorder="1" applyAlignment="1">
      <alignment horizontal="center" vertical="center"/>
    </xf>
    <xf numFmtId="164" fontId="5" fillId="0" borderId="243" xfId="0" applyFont="1" applyBorder="1" applyAlignment="1">
      <alignment horizontal="right" vertical="center"/>
    </xf>
    <xf numFmtId="164" fontId="5" fillId="0" borderId="244" xfId="0" applyFont="1" applyBorder="1" applyAlignment="1">
      <alignment horizontal="center" vertical="center"/>
    </xf>
    <xf numFmtId="164" fontId="5" fillId="0" borderId="238" xfId="0" applyFont="1" applyBorder="1" applyAlignment="1">
      <alignment horizontal="center" vertical="center"/>
    </xf>
    <xf numFmtId="164" fontId="5" fillId="0" borderId="242" xfId="0" applyFont="1" applyBorder="1" applyAlignment="1">
      <alignment horizontal="left" vertical="center"/>
    </xf>
    <xf numFmtId="164" fontId="5" fillId="0" borderId="238" xfId="0" applyFont="1" applyBorder="1" applyAlignment="1">
      <alignment horizontal="left" vertical="center"/>
    </xf>
    <xf numFmtId="11" fontId="5" fillId="0" borderId="241" xfId="0" applyNumberFormat="1" applyFont="1" applyBorder="1" applyAlignment="1">
      <alignment horizontal="center" vertical="center"/>
    </xf>
    <xf numFmtId="3" fontId="5" fillId="0" borderId="242" xfId="0" applyNumberFormat="1" applyFont="1" applyBorder="1" applyAlignment="1">
      <alignment horizontal="center" vertical="center"/>
    </xf>
    <xf numFmtId="3" fontId="5" fillId="0" borderId="243" xfId="0" applyNumberFormat="1" applyFont="1" applyBorder="1" applyAlignment="1">
      <alignment horizontal="center" vertical="center"/>
    </xf>
    <xf numFmtId="3" fontId="5" fillId="0" borderId="241" xfId="0" applyNumberFormat="1" applyFont="1" applyBorder="1" applyAlignment="1">
      <alignment horizontal="center" vertical="center"/>
    </xf>
    <xf numFmtId="164" fontId="5" fillId="0" borderId="243" xfId="0" applyFont="1" applyBorder="1" applyAlignment="1">
      <alignment horizontal="center" vertical="center"/>
    </xf>
    <xf numFmtId="14" fontId="5" fillId="0" borderId="238" xfId="0" applyNumberFormat="1" applyFont="1" applyBorder="1" applyAlignment="1">
      <alignment horizontal="center" vertical="center"/>
    </xf>
    <xf numFmtId="3" fontId="5" fillId="0" borderId="141" xfId="0" applyNumberFormat="1" applyFont="1" applyBorder="1" applyAlignment="1">
      <alignment horizontal="center" vertical="center"/>
    </xf>
    <xf numFmtId="2" fontId="5" fillId="0" borderId="241" xfId="0" applyNumberFormat="1" applyFont="1" applyBorder="1" applyAlignment="1">
      <alignment horizontal="center" vertical="center"/>
    </xf>
    <xf numFmtId="2" fontId="5" fillId="0" borderId="141" xfId="0" applyNumberFormat="1" applyFont="1" applyBorder="1" applyAlignment="1">
      <alignment horizontal="center" vertical="center"/>
    </xf>
    <xf numFmtId="173" fontId="5" fillId="0" borderId="242" xfId="0" applyNumberFormat="1" applyFont="1" applyBorder="1" applyAlignment="1">
      <alignment horizontal="center" vertical="center"/>
    </xf>
    <xf numFmtId="164" fontId="26" fillId="0" borderId="238" xfId="0" applyFont="1" applyBorder="1" applyAlignment="1">
      <alignment horizontal="center" vertical="center"/>
    </xf>
    <xf numFmtId="14" fontId="5" fillId="0" borderId="242" xfId="0" applyNumberFormat="1" applyFont="1" applyBorder="1" applyAlignment="1">
      <alignment horizontal="left" vertical="center"/>
    </xf>
    <xf numFmtId="14" fontId="5" fillId="0" borderId="238" xfId="0" applyNumberFormat="1" applyFont="1" applyBorder="1" applyAlignment="1">
      <alignment horizontal="left" vertical="center"/>
    </xf>
    <xf numFmtId="49" fontId="5" fillId="0" borderId="240" xfId="0" applyNumberFormat="1" applyFont="1" applyBorder="1" applyAlignment="1">
      <alignment horizontal="center" vertical="center"/>
    </xf>
    <xf numFmtId="164" fontId="5" fillId="0" borderId="141" xfId="0" applyFont="1" applyBorder="1" applyAlignment="1">
      <alignment horizontal="right" vertical="center"/>
    </xf>
    <xf numFmtId="3" fontId="5" fillId="0" borderId="243" xfId="0" applyNumberFormat="1" applyFont="1" applyBorder="1" applyAlignment="1">
      <alignment horizontal="right" vertical="center"/>
    </xf>
    <xf numFmtId="164" fontId="5" fillId="0" borderId="239" xfId="0" quotePrefix="1" applyFont="1" applyBorder="1" applyAlignment="1">
      <alignment horizontal="center" vertical="center"/>
    </xf>
    <xf numFmtId="11" fontId="5" fillId="0" borderId="242" xfId="0" applyNumberFormat="1" applyFont="1" applyBorder="1" applyAlignment="1">
      <alignment horizontal="center" vertical="center"/>
    </xf>
    <xf numFmtId="11" fontId="5" fillId="0" borderId="243" xfId="0" applyNumberFormat="1" applyFont="1" applyBorder="1" applyAlignment="1">
      <alignment horizontal="center" vertical="center"/>
    </xf>
    <xf numFmtId="164" fontId="5" fillId="10" borderId="245" xfId="0" applyFont="1" applyFill="1" applyBorder="1" applyAlignment="1">
      <alignment horizontal="left" vertical="center" wrapText="1"/>
    </xf>
    <xf numFmtId="164" fontId="5" fillId="0" borderId="246" xfId="0" applyFont="1" applyBorder="1" applyAlignment="1">
      <alignment horizontal="left" vertical="center" wrapText="1"/>
    </xf>
    <xf numFmtId="49" fontId="5" fillId="0" borderId="247" xfId="0" applyNumberFormat="1" applyFont="1" applyBorder="1" applyAlignment="1">
      <alignment horizontal="center" vertical="center"/>
    </xf>
    <xf numFmtId="164" fontId="5" fillId="0" borderId="248" xfId="0" applyFont="1" applyBorder="1" applyAlignment="1">
      <alignment vertical="center"/>
    </xf>
    <xf numFmtId="164" fontId="5" fillId="0" borderId="247" xfId="0" applyFont="1" applyBorder="1" applyAlignment="1">
      <alignment horizontal="center" vertical="center"/>
    </xf>
    <xf numFmtId="164" fontId="5" fillId="0" borderId="249" xfId="0" applyFont="1" applyBorder="1" applyAlignment="1">
      <alignment horizontal="center" vertical="center"/>
    </xf>
    <xf numFmtId="164" fontId="5" fillId="0" borderId="250" xfId="0" applyFont="1" applyBorder="1" applyAlignment="1">
      <alignment horizontal="center" vertical="center"/>
    </xf>
    <xf numFmtId="164" fontId="5" fillId="0" borderId="252" xfId="0" applyFont="1" applyBorder="1" applyAlignment="1">
      <alignment horizontal="center" vertical="center"/>
    </xf>
    <xf numFmtId="164" fontId="5" fillId="0" borderId="253" xfId="0" applyFont="1" applyBorder="1" applyAlignment="1">
      <alignment horizontal="center" vertical="center"/>
    </xf>
    <xf numFmtId="164" fontId="5" fillId="0" borderId="254" xfId="0" applyFont="1" applyBorder="1" applyAlignment="1">
      <alignment horizontal="center" vertical="center"/>
    </xf>
    <xf numFmtId="164" fontId="5" fillId="0" borderId="255" xfId="0" applyFont="1" applyBorder="1" applyAlignment="1">
      <alignment horizontal="center" vertical="center"/>
    </xf>
    <xf numFmtId="164" fontId="5" fillId="0" borderId="250" xfId="0" applyFont="1" applyBorder="1" applyAlignment="1">
      <alignment horizontal="left" vertical="center"/>
    </xf>
    <xf numFmtId="164" fontId="5" fillId="0" borderId="255" xfId="0" applyFont="1" applyBorder="1" applyAlignment="1">
      <alignment horizontal="left" vertical="center"/>
    </xf>
    <xf numFmtId="164" fontId="5" fillId="0" borderId="141" xfId="0" applyFont="1" applyBorder="1" applyAlignment="1">
      <alignment horizontal="left" vertical="center"/>
    </xf>
    <xf numFmtId="164" fontId="5" fillId="0" borderId="253" xfId="0" applyFont="1" applyBorder="1" applyAlignment="1">
      <alignment horizontal="left" vertical="center"/>
    </xf>
    <xf numFmtId="164" fontId="5" fillId="0" borderId="144" xfId="0" applyFont="1" applyBorder="1" applyAlignment="1">
      <alignment horizontal="left" vertical="center"/>
    </xf>
    <xf numFmtId="164" fontId="5" fillId="0" borderId="233" xfId="0" applyFont="1" applyBorder="1" applyAlignment="1">
      <alignment horizontal="left" vertical="center" wrapText="1"/>
    </xf>
    <xf numFmtId="164" fontId="5" fillId="0" borderId="240" xfId="0" applyFont="1" applyBorder="1" applyAlignment="1">
      <alignment horizontal="left" vertical="center" wrapText="1"/>
    </xf>
    <xf numFmtId="164" fontId="5" fillId="0" borderId="251" xfId="0" applyFont="1" applyBorder="1" applyAlignment="1">
      <alignment horizontal="left" vertical="center" wrapText="1"/>
    </xf>
    <xf numFmtId="164" fontId="5" fillId="0" borderId="233" xfId="0" applyFont="1" applyBorder="1" applyAlignment="1">
      <alignment horizontal="left" vertical="center"/>
    </xf>
    <xf numFmtId="164" fontId="5" fillId="0" borderId="240" xfId="0" applyFont="1" applyBorder="1" applyAlignment="1">
      <alignment horizontal="left" vertical="center"/>
    </xf>
    <xf numFmtId="164" fontId="5" fillId="0" borderId="251" xfId="0" applyFont="1" applyBorder="1" applyAlignment="1">
      <alignment horizontal="left" vertical="center"/>
    </xf>
    <xf numFmtId="11" fontId="53" fillId="5" borderId="181" xfId="0" applyNumberFormat="1" applyFont="1" applyFill="1" applyBorder="1" applyAlignment="1">
      <alignment horizontal="center" vertical="center" wrapText="1"/>
    </xf>
    <xf numFmtId="11" fontId="53" fillId="5" borderId="153" xfId="0" applyNumberFormat="1" applyFont="1" applyFill="1" applyBorder="1" applyAlignment="1">
      <alignment horizontal="center" vertical="center" wrapText="1"/>
    </xf>
    <xf numFmtId="11" fontId="54" fillId="0" borderId="129" xfId="0" applyNumberFormat="1" applyFont="1" applyBorder="1" applyAlignment="1">
      <alignment horizontal="center" vertical="center" wrapText="1"/>
    </xf>
    <xf numFmtId="11" fontId="54" fillId="0" borderId="179" xfId="0" applyNumberFormat="1" applyFont="1" applyBorder="1" applyAlignment="1">
      <alignment horizontal="center" vertical="center" wrapText="1"/>
    </xf>
    <xf numFmtId="164" fontId="26" fillId="0" borderId="50" xfId="0" applyFont="1" applyBorder="1" applyAlignment="1">
      <alignment vertical="center" wrapText="1"/>
    </xf>
    <xf numFmtId="164" fontId="7" fillId="0" borderId="52" xfId="0" applyFont="1" applyBorder="1" applyAlignment="1">
      <alignment horizontal="center" vertical="center" wrapText="1"/>
    </xf>
    <xf numFmtId="164" fontId="7" fillId="0" borderId="70" xfId="0" applyFont="1" applyBorder="1" applyAlignment="1">
      <alignment horizontal="center" vertical="center" wrapText="1"/>
    </xf>
    <xf numFmtId="164" fontId="26" fillId="17" borderId="62" xfId="0" applyFont="1" applyFill="1" applyBorder="1" applyAlignment="1">
      <alignment horizontal="center" vertical="center" wrapText="1"/>
    </xf>
    <xf numFmtId="11" fontId="7" fillId="13" borderId="6" xfId="0" applyNumberFormat="1" applyFont="1" applyFill="1" applyBorder="1" applyAlignment="1">
      <alignment horizontal="center"/>
    </xf>
    <xf numFmtId="11" fontId="11" fillId="14" borderId="124" xfId="0" applyNumberFormat="1" applyFont="1" applyFill="1" applyBorder="1" applyAlignment="1">
      <alignment horizontal="center"/>
    </xf>
    <xf numFmtId="164" fontId="7" fillId="12" borderId="122" xfId="0" applyFont="1" applyFill="1" applyBorder="1"/>
    <xf numFmtId="165" fontId="7" fillId="12" borderId="118" xfId="0" applyNumberFormat="1" applyFont="1" applyFill="1" applyBorder="1" applyAlignment="1">
      <alignment horizontal="center"/>
    </xf>
    <xf numFmtId="164" fontId="7" fillId="0" borderId="120" xfId="0" applyFont="1" applyBorder="1" applyAlignment="1">
      <alignment horizontal="center"/>
    </xf>
    <xf numFmtId="171" fontId="26" fillId="17" borderId="54" xfId="0" applyNumberFormat="1" applyFont="1" applyFill="1" applyBorder="1" applyAlignment="1">
      <alignment horizontal="center" vertical="center" wrapText="1"/>
    </xf>
    <xf numFmtId="171" fontId="26" fillId="17" borderId="0" xfId="0" applyNumberFormat="1" applyFont="1" applyFill="1" applyAlignment="1">
      <alignment horizontal="center" vertical="center" wrapText="1"/>
    </xf>
    <xf numFmtId="171" fontId="26" fillId="17" borderId="64" xfId="0" applyNumberFormat="1" applyFont="1" applyFill="1" applyBorder="1" applyAlignment="1">
      <alignment horizontal="center" vertical="center" wrapText="1"/>
    </xf>
    <xf numFmtId="171" fontId="5" fillId="17" borderId="54" xfId="0" applyNumberFormat="1" applyFont="1" applyFill="1" applyBorder="1" applyAlignment="1">
      <alignment horizontal="center" vertical="center" wrapText="1"/>
    </xf>
    <xf numFmtId="164" fontId="26" fillId="17" borderId="64" xfId="0" applyFont="1" applyFill="1" applyBorder="1" applyAlignment="1">
      <alignment horizontal="center" vertical="center" wrapText="1"/>
    </xf>
    <xf numFmtId="164" fontId="26" fillId="0" borderId="60" xfId="0" applyFont="1" applyBorder="1" applyAlignment="1">
      <alignment horizontal="left" vertical="center" wrapText="1"/>
    </xf>
    <xf numFmtId="164" fontId="26" fillId="0" borderId="138" xfId="0" applyFont="1" applyBorder="1" applyAlignment="1">
      <alignment horizontal="left" vertical="center" wrapText="1"/>
    </xf>
    <xf numFmtId="164" fontId="11" fillId="0" borderId="105" xfId="0" applyFont="1" applyBorder="1" applyAlignment="1">
      <alignment horizontal="left" vertical="center" wrapText="1"/>
    </xf>
    <xf numFmtId="164" fontId="56" fillId="5" borderId="0" xfId="0" applyFont="1" applyFill="1" applyAlignment="1">
      <alignment vertical="center" wrapText="1"/>
    </xf>
    <xf numFmtId="164" fontId="3" fillId="5" borderId="1" xfId="0" applyFont="1" applyFill="1" applyBorder="1" applyAlignment="1">
      <alignment vertical="center" wrapText="1"/>
    </xf>
    <xf numFmtId="164" fontId="3" fillId="8" borderId="0" xfId="0" applyFont="1" applyFill="1"/>
    <xf numFmtId="164" fontId="3" fillId="5" borderId="40" xfId="0" applyFont="1" applyFill="1" applyBorder="1"/>
    <xf numFmtId="0" fontId="5" fillId="0" borderId="142" xfId="0" applyNumberFormat="1" applyFont="1" applyBorder="1" applyAlignment="1">
      <alignment horizontal="left" vertical="center" wrapText="1"/>
    </xf>
    <xf numFmtId="164" fontId="5" fillId="0" borderId="142" xfId="0" quotePrefix="1" applyFont="1" applyBorder="1" applyAlignment="1">
      <alignment horizontal="left" vertical="center" wrapText="1"/>
    </xf>
    <xf numFmtId="164" fontId="18" fillId="0" borderId="37" xfId="0" applyFont="1" applyBorder="1" applyAlignment="1">
      <alignment vertical="center" wrapText="1"/>
    </xf>
    <xf numFmtId="164" fontId="8" fillId="0" borderId="40" xfId="0" applyFont="1" applyBorder="1" applyAlignment="1">
      <alignment vertical="center" wrapText="1"/>
    </xf>
    <xf numFmtId="164" fontId="11" fillId="0" borderId="42" xfId="0" applyFont="1" applyBorder="1" applyAlignment="1">
      <alignment horizontal="left" vertical="center" wrapText="1"/>
    </xf>
    <xf numFmtId="164" fontId="7" fillId="0" borderId="145" xfId="0" applyFont="1" applyBorder="1" applyAlignment="1">
      <alignment horizontal="left" vertical="center" wrapText="1"/>
    </xf>
    <xf numFmtId="164" fontId="7" fillId="0" borderId="155" xfId="0" applyFont="1" applyBorder="1" applyAlignment="1">
      <alignment horizontal="left" vertical="center" wrapText="1"/>
    </xf>
    <xf numFmtId="164" fontId="7" fillId="0" borderId="0" xfId="0" applyFont="1" applyAlignment="1">
      <alignment horizontal="center" vertical="center" wrapText="1"/>
    </xf>
    <xf numFmtId="164" fontId="42" fillId="0" borderId="0" xfId="1" applyNumberFormat="1" applyFont="1" applyAlignment="1" applyProtection="1">
      <alignment horizontal="center" vertical="center" wrapText="1"/>
    </xf>
    <xf numFmtId="0" fontId="5" fillId="0" borderId="178" xfId="0" applyNumberFormat="1" applyFont="1" applyBorder="1" applyAlignment="1">
      <alignment horizontal="left" vertical="center" wrapText="1"/>
    </xf>
    <xf numFmtId="164" fontId="5" fillId="0" borderId="178" xfId="0" quotePrefix="1" applyFont="1" applyBorder="1" applyAlignment="1">
      <alignment horizontal="left" vertical="center" wrapText="1"/>
    </xf>
    <xf numFmtId="0" fontId="5" fillId="0" borderId="150" xfId="0" applyNumberFormat="1" applyFont="1" applyBorder="1" applyAlignment="1">
      <alignment horizontal="left" vertical="center" wrapText="1"/>
    </xf>
    <xf numFmtId="164" fontId="5" fillId="0" borderId="150" xfId="0" quotePrefix="1" applyFont="1" applyBorder="1" applyAlignment="1">
      <alignment horizontal="left" vertical="center" wrapText="1"/>
    </xf>
    <xf numFmtId="0" fontId="5" fillId="0" borderId="229" xfId="0" applyNumberFormat="1" applyFont="1" applyBorder="1" applyAlignment="1">
      <alignment horizontal="left" vertical="center" wrapText="1"/>
    </xf>
    <xf numFmtId="164" fontId="5" fillId="0" borderId="229" xfId="0" quotePrefix="1" applyFont="1" applyBorder="1" applyAlignment="1">
      <alignment horizontal="left" vertical="center" wrapText="1"/>
    </xf>
    <xf numFmtId="165" fontId="5" fillId="0" borderId="146" xfId="0" applyNumberFormat="1" applyFont="1" applyBorder="1" applyAlignment="1">
      <alignment vertical="center" wrapText="1"/>
    </xf>
    <xf numFmtId="165" fontId="5" fillId="0" borderId="147" xfId="0" applyNumberFormat="1" applyFont="1" applyBorder="1" applyAlignment="1">
      <alignment horizontal="center" vertical="center" wrapText="1"/>
    </xf>
    <xf numFmtId="170" fontId="5" fillId="0" borderId="148" xfId="0" applyNumberFormat="1" applyFont="1" applyBorder="1" applyAlignment="1">
      <alignment vertical="center" wrapText="1"/>
    </xf>
    <xf numFmtId="170" fontId="5" fillId="0" borderId="226" xfId="0" applyNumberFormat="1" applyFont="1" applyBorder="1" applyAlignment="1">
      <alignment vertical="center" wrapText="1"/>
    </xf>
    <xf numFmtId="170" fontId="5" fillId="0" borderId="148" xfId="0" quotePrefix="1" applyNumberFormat="1" applyFont="1" applyBorder="1" applyAlignment="1">
      <alignment vertical="center" wrapText="1"/>
    </xf>
    <xf numFmtId="170" fontId="5" fillId="0" borderId="227" xfId="0" applyNumberFormat="1" applyFont="1" applyBorder="1" applyAlignment="1">
      <alignment vertical="center" wrapText="1"/>
    </xf>
    <xf numFmtId="170" fontId="5" fillId="0" borderId="146" xfId="0" applyNumberFormat="1" applyFont="1" applyBorder="1" applyAlignment="1">
      <alignment horizontal="center" vertical="center" wrapText="1"/>
    </xf>
    <xf numFmtId="170" fontId="5" fillId="0" borderId="228" xfId="0" applyNumberFormat="1" applyFont="1" applyBorder="1" applyAlignment="1">
      <alignment horizontal="center" vertical="center" wrapText="1"/>
    </xf>
    <xf numFmtId="170" fontId="5" fillId="0" borderId="148" xfId="0" applyNumberFormat="1" applyFont="1" applyBorder="1" applyAlignment="1">
      <alignment horizontal="center" vertical="center" wrapText="1"/>
    </xf>
    <xf numFmtId="170" fontId="5" fillId="0" borderId="226" xfId="0" applyNumberFormat="1" applyFont="1" applyBorder="1" applyAlignment="1">
      <alignment horizontal="center" vertical="center" wrapText="1"/>
    </xf>
    <xf numFmtId="170" fontId="5" fillId="0" borderId="227" xfId="0" applyNumberFormat="1" applyFont="1" applyBorder="1" applyAlignment="1">
      <alignment horizontal="center" vertical="center" wrapText="1"/>
    </xf>
    <xf numFmtId="170" fontId="5" fillId="5" borderId="146" xfId="0" applyNumberFormat="1" applyFont="1" applyFill="1" applyBorder="1" applyAlignment="1">
      <alignment horizontal="center" vertical="center" wrapText="1"/>
    </xf>
    <xf numFmtId="166" fontId="5" fillId="5" borderId="149" xfId="0" applyNumberFormat="1" applyFont="1" applyFill="1" applyBorder="1" applyAlignment="1">
      <alignment vertical="center" wrapText="1"/>
    </xf>
    <xf numFmtId="165" fontId="5" fillId="0" borderId="151" xfId="0" applyNumberFormat="1" applyFont="1" applyBorder="1" applyAlignment="1">
      <alignment vertical="center" wrapText="1"/>
    </xf>
    <xf numFmtId="165" fontId="5" fillId="0" borderId="152" xfId="0" applyNumberFormat="1" applyFont="1" applyBorder="1" applyAlignment="1">
      <alignment horizontal="center" vertical="center" wrapText="1"/>
    </xf>
    <xf numFmtId="170" fontId="5" fillId="0" borderId="153" xfId="0" applyNumberFormat="1" applyFont="1" applyBorder="1" applyAlignment="1">
      <alignment vertical="center" wrapText="1"/>
    </xf>
    <xf numFmtId="170" fontId="5" fillId="0" borderId="181" xfId="0" applyNumberFormat="1" applyFont="1" applyBorder="1" applyAlignment="1">
      <alignment vertical="center" wrapText="1"/>
    </xf>
    <xf numFmtId="170" fontId="5" fillId="0" borderId="153" xfId="0" quotePrefix="1" applyNumberFormat="1" applyFont="1" applyBorder="1" applyAlignment="1">
      <alignment vertical="center" wrapText="1"/>
    </xf>
    <xf numFmtId="170" fontId="5" fillId="0" borderId="179" xfId="0" applyNumberFormat="1" applyFont="1" applyBorder="1" applyAlignment="1">
      <alignment vertical="center" wrapText="1"/>
    </xf>
    <xf numFmtId="170" fontId="5" fillId="0" borderId="151" xfId="0" applyNumberFormat="1" applyFont="1" applyBorder="1" applyAlignment="1">
      <alignment horizontal="center" vertical="center" wrapText="1"/>
    </xf>
    <xf numFmtId="170" fontId="5" fillId="0" borderId="180" xfId="0" applyNumberFormat="1" applyFont="1" applyBorder="1" applyAlignment="1">
      <alignment horizontal="center" vertical="center" wrapText="1"/>
    </xf>
    <xf numFmtId="170" fontId="5" fillId="0" borderId="153" xfId="0" applyNumberFormat="1" applyFont="1" applyBorder="1" applyAlignment="1">
      <alignment horizontal="center" vertical="center" wrapText="1"/>
    </xf>
    <xf numFmtId="170" fontId="5" fillId="0" borderId="179" xfId="0" applyNumberFormat="1" applyFont="1" applyBorder="1" applyAlignment="1">
      <alignment horizontal="center" vertical="center" wrapText="1"/>
    </xf>
    <xf numFmtId="170" fontId="5" fillId="5" borderId="151" xfId="0" applyNumberFormat="1" applyFont="1" applyFill="1" applyBorder="1" applyAlignment="1">
      <alignment horizontal="center" vertical="center" wrapText="1"/>
    </xf>
    <xf numFmtId="166" fontId="5" fillId="5" borderId="154" xfId="0" applyNumberFormat="1" applyFont="1" applyFill="1" applyBorder="1" applyAlignment="1">
      <alignment vertical="center" wrapText="1"/>
    </xf>
    <xf numFmtId="164" fontId="5" fillId="0" borderId="151" xfId="0" applyFont="1" applyBorder="1" applyAlignment="1">
      <alignment vertical="center" wrapText="1"/>
    </xf>
    <xf numFmtId="164" fontId="5" fillId="0" borderId="152" xfId="0" applyFont="1" applyBorder="1" applyAlignment="1">
      <alignment horizontal="center" vertical="center" wrapText="1"/>
    </xf>
    <xf numFmtId="167" fontId="5" fillId="0" borderId="151" xfId="0" applyNumberFormat="1" applyFont="1" applyBorder="1" applyAlignment="1">
      <alignment vertical="center" wrapText="1"/>
    </xf>
    <xf numFmtId="164" fontId="5" fillId="0" borderId="156" xfId="0" applyFont="1" applyBorder="1" applyAlignment="1">
      <alignment vertical="center" wrapText="1"/>
    </xf>
    <xf numFmtId="164" fontId="5" fillId="0" borderId="157" xfId="0" applyFont="1" applyBorder="1" applyAlignment="1">
      <alignment horizontal="center" vertical="center" wrapText="1"/>
    </xf>
    <xf numFmtId="170" fontId="5" fillId="0" borderId="158" xfId="0" applyNumberFormat="1" applyFont="1" applyBorder="1" applyAlignment="1">
      <alignment vertical="center" wrapText="1"/>
    </xf>
    <xf numFmtId="170" fontId="5" fillId="0" borderId="195" xfId="0" applyNumberFormat="1" applyFont="1" applyBorder="1" applyAlignment="1">
      <alignment vertical="center" wrapText="1"/>
    </xf>
    <xf numFmtId="170" fontId="5" fillId="0" borderId="158" xfId="0" quotePrefix="1" applyNumberFormat="1" applyFont="1" applyBorder="1" applyAlignment="1">
      <alignment vertical="center" wrapText="1"/>
    </xf>
    <xf numFmtId="170" fontId="5" fillId="0" borderId="199" xfId="0" applyNumberFormat="1" applyFont="1" applyBorder="1" applyAlignment="1">
      <alignment vertical="center" wrapText="1"/>
    </xf>
    <xf numFmtId="170" fontId="5" fillId="0" borderId="156" xfId="0" applyNumberFormat="1" applyFont="1" applyBorder="1" applyAlignment="1">
      <alignment horizontal="center" vertical="center" wrapText="1"/>
    </xf>
    <xf numFmtId="170" fontId="5" fillId="0" borderId="200" xfId="0" applyNumberFormat="1" applyFont="1" applyBorder="1" applyAlignment="1">
      <alignment horizontal="center" vertical="center" wrapText="1"/>
    </xf>
    <xf numFmtId="170" fontId="5" fillId="0" borderId="158" xfId="0" applyNumberFormat="1" applyFont="1" applyBorder="1" applyAlignment="1">
      <alignment horizontal="center" vertical="center" wrapText="1"/>
    </xf>
    <xf numFmtId="170" fontId="5" fillId="0" borderId="199" xfId="0" applyNumberFormat="1" applyFont="1" applyBorder="1" applyAlignment="1">
      <alignment horizontal="center" vertical="center" wrapText="1"/>
    </xf>
    <xf numFmtId="170" fontId="5" fillId="5" borderId="156" xfId="0" applyNumberFormat="1" applyFont="1" applyFill="1" applyBorder="1" applyAlignment="1">
      <alignment horizontal="center" vertical="center" wrapText="1"/>
    </xf>
    <xf numFmtId="166" fontId="5" fillId="5" borderId="159" xfId="0" applyNumberFormat="1" applyFont="1" applyFill="1" applyBorder="1" applyAlignment="1">
      <alignment vertical="center" wrapText="1"/>
    </xf>
    <xf numFmtId="11" fontId="5" fillId="0" borderId="0" xfId="0" applyNumberFormat="1" applyFont="1" applyAlignment="1">
      <alignment horizontal="center" vertical="center" wrapText="1"/>
    </xf>
    <xf numFmtId="11" fontId="5" fillId="0" borderId="259" xfId="0" applyNumberFormat="1" applyFont="1" applyBorder="1" applyAlignment="1">
      <alignment horizontal="center" vertical="center" wrapText="1"/>
    </xf>
    <xf numFmtId="11" fontId="5" fillId="0" borderId="260" xfId="0" applyNumberFormat="1" applyFont="1" applyBorder="1" applyAlignment="1">
      <alignment horizontal="center" vertical="center" wrapText="1"/>
    </xf>
    <xf numFmtId="11" fontId="3" fillId="0" borderId="256" xfId="0" applyNumberFormat="1" applyFont="1" applyBorder="1" applyAlignment="1">
      <alignment horizontal="center" vertical="center" wrapText="1"/>
    </xf>
    <xf numFmtId="11" fontId="3" fillId="0" borderId="257" xfId="0" applyNumberFormat="1" applyFont="1" applyBorder="1" applyAlignment="1">
      <alignment horizontal="center" vertical="center" wrapText="1"/>
    </xf>
    <xf numFmtId="11" fontId="3" fillId="0" borderId="258" xfId="0" applyNumberFormat="1" applyFont="1" applyBorder="1" applyAlignment="1">
      <alignment horizontal="center" vertical="center" wrapText="1"/>
    </xf>
    <xf numFmtId="11" fontId="3" fillId="0" borderId="259" xfId="0" applyNumberFormat="1" applyFont="1" applyBorder="1" applyAlignment="1">
      <alignment horizontal="center" vertical="center" wrapText="1"/>
    </xf>
    <xf numFmtId="11" fontId="3" fillId="0" borderId="260" xfId="0" applyNumberFormat="1" applyFont="1" applyBorder="1" applyAlignment="1">
      <alignment horizontal="center" vertical="center" wrapText="1"/>
    </xf>
    <xf numFmtId="11" fontId="5" fillId="0" borderId="261" xfId="0" applyNumberFormat="1" applyFont="1" applyBorder="1" applyAlignment="1">
      <alignment horizontal="center" vertical="center" wrapText="1"/>
    </xf>
    <xf numFmtId="11" fontId="5" fillId="0" borderId="262" xfId="0" applyNumberFormat="1" applyFont="1" applyBorder="1" applyAlignment="1">
      <alignment horizontal="center" vertical="center" wrapText="1"/>
    </xf>
    <xf numFmtId="11" fontId="5" fillId="0" borderId="263" xfId="0" applyNumberFormat="1" applyFont="1" applyBorder="1" applyAlignment="1">
      <alignment horizontal="center" vertical="center" wrapText="1"/>
    </xf>
    <xf numFmtId="11" fontId="34" fillId="0" borderId="0" xfId="0" applyNumberFormat="1" applyFont="1" applyAlignment="1">
      <alignment horizontal="left"/>
    </xf>
    <xf numFmtId="11" fontId="58" fillId="0" borderId="0" xfId="0" applyNumberFormat="1" applyFont="1" applyAlignment="1">
      <alignment horizontal="left"/>
    </xf>
    <xf numFmtId="11" fontId="11" fillId="16" borderId="126" xfId="0" applyNumberFormat="1" applyFont="1" applyFill="1" applyBorder="1" applyAlignment="1">
      <alignment horizontal="center"/>
    </xf>
    <xf numFmtId="164" fontId="3" fillId="4" borderId="0" xfId="0" applyFont="1" applyFill="1" applyAlignment="1">
      <alignment horizontal="left" vertical="center" wrapText="1"/>
    </xf>
    <xf numFmtId="164" fontId="3" fillId="4" borderId="16" xfId="0" applyFont="1" applyFill="1" applyBorder="1" applyAlignment="1">
      <alignment horizontal="left" vertical="center" wrapText="1"/>
    </xf>
    <xf numFmtId="164" fontId="3" fillId="4" borderId="0" xfId="0" applyFont="1" applyFill="1" applyAlignment="1">
      <alignment horizontal="left" vertical="center"/>
    </xf>
    <xf numFmtId="164" fontId="5" fillId="9" borderId="215" xfId="0" applyFont="1" applyFill="1" applyBorder="1" applyAlignment="1">
      <alignment horizontal="center" vertical="center" wrapText="1"/>
    </xf>
    <xf numFmtId="164" fontId="5" fillId="9" borderId="220" xfId="0" applyFont="1" applyFill="1" applyBorder="1" applyAlignment="1">
      <alignment horizontal="center" vertical="center" wrapText="1"/>
    </xf>
    <xf numFmtId="164" fontId="5" fillId="9" borderId="216" xfId="0" applyFont="1" applyFill="1" applyBorder="1" applyAlignment="1">
      <alignment horizontal="center" vertical="center" wrapText="1"/>
    </xf>
    <xf numFmtId="164" fontId="5" fillId="9" borderId="221" xfId="0" applyFont="1" applyFill="1" applyBorder="1" applyAlignment="1">
      <alignment horizontal="center" vertical="center" wrapText="1"/>
    </xf>
    <xf numFmtId="164" fontId="7" fillId="13" borderId="0" xfId="0" applyFont="1" applyFill="1" applyAlignment="1">
      <alignment horizontal="center"/>
    </xf>
    <xf numFmtId="164" fontId="26" fillId="0" borderId="16" xfId="0" applyFont="1" applyBorder="1" applyAlignment="1">
      <alignment horizontal="center" vertical="center" wrapText="1"/>
    </xf>
    <xf numFmtId="164" fontId="26" fillId="0" borderId="18" xfId="0" applyFont="1" applyBorder="1" applyAlignment="1">
      <alignment horizontal="center" vertical="center" wrapText="1"/>
    </xf>
    <xf numFmtId="164" fontId="3" fillId="0" borderId="87" xfId="0" applyFont="1" applyBorder="1" applyAlignment="1">
      <alignment vertical="center"/>
    </xf>
    <xf numFmtId="164" fontId="3" fillId="0" borderId="264" xfId="0" applyFont="1" applyBorder="1" applyAlignment="1">
      <alignment horizontal="center" vertical="center"/>
    </xf>
    <xf numFmtId="164" fontId="0" fillId="0" borderId="87" xfId="0" applyBorder="1" applyAlignment="1">
      <alignment vertical="center"/>
    </xf>
    <xf numFmtId="164" fontId="59" fillId="4" borderId="16" xfId="0" applyFont="1" applyFill="1" applyBorder="1" applyAlignment="1">
      <alignment horizontal="center" vertical="center" wrapText="1"/>
    </xf>
    <xf numFmtId="164" fontId="3" fillId="5" borderId="37" xfId="0" applyFont="1" applyFill="1" applyBorder="1" applyAlignment="1">
      <alignment horizontal="center" vertical="center"/>
    </xf>
    <xf numFmtId="164" fontId="3" fillId="5" borderId="38" xfId="0" applyFont="1" applyFill="1" applyBorder="1" applyAlignment="1">
      <alignment horizontal="center" vertical="center"/>
    </xf>
    <xf numFmtId="164" fontId="3" fillId="5" borderId="39" xfId="0" applyFont="1" applyFill="1" applyBorder="1" applyAlignment="1">
      <alignment horizontal="center" vertical="center"/>
    </xf>
    <xf numFmtId="164" fontId="3" fillId="4" borderId="1" xfId="0" applyFont="1" applyFill="1" applyBorder="1" applyAlignment="1">
      <alignment horizontal="left" vertical="center" wrapText="1"/>
    </xf>
    <xf numFmtId="164" fontId="3" fillId="4" borderId="18" xfId="0" applyFont="1" applyFill="1" applyBorder="1" applyAlignment="1">
      <alignment horizontal="left" vertical="center" wrapText="1"/>
    </xf>
    <xf numFmtId="164" fontId="3" fillId="5" borderId="0" xfId="0" applyFont="1" applyFill="1" applyAlignment="1">
      <alignment horizontal="left" vertical="center" wrapText="1"/>
    </xf>
    <xf numFmtId="164" fontId="3" fillId="4" borderId="12" xfId="0" applyFont="1" applyFill="1" applyBorder="1" applyAlignment="1">
      <alignment horizontal="left" vertical="center" wrapText="1"/>
    </xf>
    <xf numFmtId="164" fontId="3" fillId="4" borderId="14" xfId="0" applyFont="1" applyFill="1" applyBorder="1" applyAlignment="1">
      <alignment horizontal="left" vertical="center" wrapText="1"/>
    </xf>
    <xf numFmtId="164" fontId="6" fillId="4" borderId="0" xfId="0" applyFont="1" applyFill="1" applyAlignment="1">
      <alignment horizontal="left" vertical="center" wrapText="1"/>
    </xf>
    <xf numFmtId="164" fontId="6" fillId="4" borderId="16" xfId="0" applyFont="1" applyFill="1" applyBorder="1" applyAlignment="1">
      <alignment horizontal="left" vertical="center" wrapText="1"/>
    </xf>
    <xf numFmtId="164" fontId="3" fillId="4" borderId="0" xfId="0" applyFont="1" applyFill="1" applyAlignment="1">
      <alignment horizontal="left" vertical="center" wrapText="1"/>
    </xf>
    <xf numFmtId="164" fontId="3" fillId="4" borderId="16" xfId="0" applyFont="1" applyFill="1" applyBorder="1" applyAlignment="1">
      <alignment horizontal="left" vertical="center" wrapText="1"/>
    </xf>
    <xf numFmtId="49" fontId="3" fillId="5" borderId="0" xfId="0" applyNumberFormat="1" applyFont="1" applyFill="1" applyAlignment="1">
      <alignment horizontal="left" vertical="center" wrapText="1"/>
    </xf>
    <xf numFmtId="164" fontId="35" fillId="5" borderId="0" xfId="0" applyFont="1" applyFill="1" applyAlignment="1">
      <alignment horizontal="left" vertical="center" wrapText="1"/>
    </xf>
    <xf numFmtId="164" fontId="6" fillId="5" borderId="40" xfId="0" applyFont="1" applyFill="1" applyBorder="1" applyAlignment="1">
      <alignment horizontal="center" vertical="center" wrapText="1"/>
    </xf>
    <xf numFmtId="164" fontId="6" fillId="5" borderId="0" xfId="0" applyFont="1" applyFill="1" applyAlignment="1">
      <alignment horizontal="center" vertical="center" wrapText="1"/>
    </xf>
    <xf numFmtId="164" fontId="6" fillId="5" borderId="41" xfId="0" applyFont="1" applyFill="1" applyBorder="1" applyAlignment="1">
      <alignment horizontal="center" vertical="center" wrapText="1"/>
    </xf>
    <xf numFmtId="164" fontId="3" fillId="5" borderId="40" xfId="0" applyFont="1" applyFill="1" applyBorder="1" applyAlignment="1">
      <alignment horizontal="center" vertical="center"/>
    </xf>
    <xf numFmtId="164" fontId="3" fillId="5" borderId="0" xfId="0" applyFont="1" applyFill="1" applyAlignment="1">
      <alignment horizontal="center" vertical="center"/>
    </xf>
    <xf numFmtId="164" fontId="3" fillId="5" borderId="41" xfId="0" applyFont="1" applyFill="1" applyBorder="1" applyAlignment="1">
      <alignment horizontal="center" vertical="center"/>
    </xf>
    <xf numFmtId="164" fontId="5" fillId="0" borderId="57" xfId="0" applyFont="1" applyBorder="1" applyAlignment="1">
      <alignment horizontal="center" vertical="center" wrapText="1"/>
    </xf>
    <xf numFmtId="164" fontId="5" fillId="0" borderId="58" xfId="0" applyFont="1" applyBorder="1" applyAlignment="1">
      <alignment horizontal="center" vertical="center" wrapText="1"/>
    </xf>
    <xf numFmtId="164" fontId="26" fillId="17" borderId="69" xfId="0" applyFont="1" applyFill="1" applyBorder="1" applyAlignment="1">
      <alignment horizontal="center" vertical="center" wrapText="1"/>
    </xf>
    <xf numFmtId="164" fontId="26" fillId="17" borderId="66" xfId="0" applyFont="1" applyFill="1" applyBorder="1" applyAlignment="1">
      <alignment horizontal="center" vertical="center" wrapText="1"/>
    </xf>
    <xf numFmtId="164" fontId="5" fillId="0" borderId="51" xfId="0" applyFont="1" applyBorder="1" applyAlignment="1">
      <alignment horizontal="center" vertical="center" wrapText="1"/>
    </xf>
    <xf numFmtId="164" fontId="5" fillId="0" borderId="64" xfId="0" applyFont="1" applyBorder="1" applyAlignment="1">
      <alignment horizontal="center" vertical="center" wrapText="1"/>
    </xf>
    <xf numFmtId="164" fontId="5" fillId="0" borderId="62" xfId="0" applyFont="1" applyBorder="1" applyAlignment="1">
      <alignment horizontal="center" vertical="center" wrapText="1"/>
    </xf>
    <xf numFmtId="164" fontId="26" fillId="11" borderId="57" xfId="0" applyFont="1" applyFill="1" applyBorder="1" applyAlignment="1">
      <alignment horizontal="center" vertical="center" wrapText="1"/>
    </xf>
    <xf numFmtId="164" fontId="26" fillId="11" borderId="59" xfId="0" applyFont="1" applyFill="1" applyBorder="1" applyAlignment="1">
      <alignment horizontal="center" vertical="center" wrapText="1"/>
    </xf>
    <xf numFmtId="164" fontId="26" fillId="17" borderId="68" xfId="0" applyFont="1" applyFill="1" applyBorder="1" applyAlignment="1">
      <alignment horizontal="center" vertical="center" wrapText="1"/>
    </xf>
    <xf numFmtId="164" fontId="26" fillId="17" borderId="59" xfId="0" applyFont="1" applyFill="1" applyBorder="1" applyAlignment="1">
      <alignment horizontal="center" vertical="center" wrapText="1"/>
    </xf>
    <xf numFmtId="164" fontId="26" fillId="11" borderId="51" xfId="0" applyFont="1" applyFill="1" applyBorder="1" applyAlignment="1">
      <alignment horizontal="center" vertical="center" wrapText="1"/>
    </xf>
    <xf numFmtId="164" fontId="26" fillId="11" borderId="0" xfId="0" applyFont="1" applyFill="1" applyAlignment="1">
      <alignment horizontal="center" vertical="center" wrapText="1"/>
    </xf>
    <xf numFmtId="164" fontId="11" fillId="19" borderId="38" xfId="0" applyFont="1" applyFill="1" applyBorder="1" applyAlignment="1">
      <alignment horizontal="center" vertical="center" wrapText="1"/>
    </xf>
    <xf numFmtId="164" fontId="26" fillId="17" borderId="54" xfId="0" applyFont="1" applyFill="1" applyBorder="1" applyAlignment="1">
      <alignment horizontal="center" vertical="center" wrapText="1"/>
    </xf>
    <xf numFmtId="164" fontId="26" fillId="17" borderId="0" xfId="0" applyFont="1" applyFill="1" applyAlignment="1">
      <alignment horizontal="center" vertical="center" wrapText="1"/>
    </xf>
    <xf numFmtId="172" fontId="5" fillId="0" borderId="54" xfId="0" applyNumberFormat="1" applyFont="1" applyBorder="1" applyAlignment="1">
      <alignment horizontal="center" vertical="center" wrapText="1"/>
    </xf>
    <xf numFmtId="164" fontId="26" fillId="5" borderId="51" xfId="0" applyFont="1" applyFill="1" applyBorder="1" applyAlignment="1">
      <alignment horizontal="center" vertical="center" wrapText="1"/>
    </xf>
    <xf numFmtId="164" fontId="26" fillId="5" borderId="41" xfId="0" applyFont="1" applyFill="1" applyBorder="1" applyAlignment="1">
      <alignment horizontal="center" vertical="center" wrapText="1"/>
    </xf>
    <xf numFmtId="164" fontId="5" fillId="5" borderId="51" xfId="0" applyFont="1" applyFill="1" applyBorder="1" applyAlignment="1">
      <alignment horizontal="center" vertical="center" wrapText="1"/>
    </xf>
    <xf numFmtId="164" fontId="5" fillId="5" borderId="41" xfId="0" applyFont="1" applyFill="1" applyBorder="1" applyAlignment="1">
      <alignment horizontal="center" vertical="center" wrapText="1"/>
    </xf>
    <xf numFmtId="164" fontId="5" fillId="0" borderId="213" xfId="0" applyFont="1" applyBorder="1" applyAlignment="1">
      <alignment horizontal="center" vertical="center" wrapText="1"/>
    </xf>
    <xf numFmtId="164" fontId="5" fillId="0" borderId="218" xfId="0" applyFont="1" applyBorder="1" applyAlignment="1">
      <alignment horizontal="center" vertical="center" wrapText="1"/>
    </xf>
    <xf numFmtId="164" fontId="3" fillId="0" borderId="213" xfId="0" applyFont="1" applyBorder="1" applyAlignment="1">
      <alignment horizontal="center" vertical="center" wrapText="1"/>
    </xf>
    <xf numFmtId="164" fontId="3" fillId="0" borderId="218" xfId="0" applyFont="1" applyBorder="1" applyAlignment="1">
      <alignment horizontal="center" vertical="center" wrapText="1"/>
    </xf>
    <xf numFmtId="164" fontId="5" fillId="0" borderId="54" xfId="0" applyFont="1" applyBorder="1" applyAlignment="1">
      <alignment horizontal="center" vertical="center" wrapText="1"/>
    </xf>
    <xf numFmtId="164" fontId="3" fillId="0" borderId="54" xfId="0" applyFont="1" applyBorder="1" applyAlignment="1">
      <alignment horizontal="center" vertical="center" wrapText="1"/>
    </xf>
    <xf numFmtId="164" fontId="3" fillId="0" borderId="64" xfId="0" applyFont="1" applyBorder="1" applyAlignment="1">
      <alignment horizontal="center" vertical="center" wrapText="1"/>
    </xf>
    <xf numFmtId="164" fontId="6" fillId="0" borderId="37" xfId="0" applyFont="1" applyBorder="1" applyAlignment="1">
      <alignment horizontal="center" vertical="center" wrapText="1"/>
    </xf>
    <xf numFmtId="164" fontId="6" fillId="0" borderId="40" xfId="0" applyFont="1" applyBorder="1" applyAlignment="1">
      <alignment horizontal="center" vertical="center" wrapText="1"/>
    </xf>
    <xf numFmtId="164" fontId="3" fillId="0" borderId="212" xfId="0" applyFont="1" applyBorder="1" applyAlignment="1">
      <alignment horizontal="center" vertical="center" wrapText="1"/>
    </xf>
    <xf numFmtId="164" fontId="3" fillId="0" borderId="61" xfId="0" applyFont="1" applyBorder="1" applyAlignment="1">
      <alignment horizontal="center" vertical="center" wrapText="1"/>
    </xf>
    <xf numFmtId="164" fontId="3" fillId="0" borderId="205" xfId="0" applyFont="1" applyBorder="1" applyAlignment="1">
      <alignment horizontal="center" vertical="center" wrapText="1"/>
    </xf>
    <xf numFmtId="164" fontId="5" fillId="0" borderId="53" xfId="0" applyFont="1" applyBorder="1" applyAlignment="1">
      <alignment horizontal="center" vertical="center" wrapText="1"/>
    </xf>
    <xf numFmtId="164" fontId="5" fillId="0" borderId="70" xfId="0" applyFont="1" applyBorder="1" applyAlignment="1">
      <alignment horizontal="center" vertical="center" wrapText="1"/>
    </xf>
    <xf numFmtId="11" fontId="5" fillId="21" borderId="259" xfId="0" applyNumberFormat="1" applyFont="1" applyFill="1" applyBorder="1" applyAlignment="1">
      <alignment horizontal="center" vertical="center" wrapText="1"/>
    </xf>
    <xf numFmtId="11" fontId="5" fillId="21" borderId="0" xfId="0" applyNumberFormat="1" applyFont="1" applyFill="1" applyAlignment="1">
      <alignment horizontal="center" vertical="center" wrapText="1"/>
    </xf>
    <xf numFmtId="11" fontId="5" fillId="21" borderId="260" xfId="0" applyNumberFormat="1" applyFont="1" applyFill="1" applyBorder="1" applyAlignment="1">
      <alignment horizontal="center" vertical="center" wrapText="1"/>
    </xf>
    <xf numFmtId="11" fontId="26" fillId="0" borderId="259" xfId="0" applyNumberFormat="1" applyFont="1" applyBorder="1" applyAlignment="1">
      <alignment horizontal="center" vertical="center" wrapText="1"/>
    </xf>
    <xf numFmtId="11" fontId="26" fillId="0" borderId="0" xfId="0" applyNumberFormat="1" applyFont="1" applyAlignment="1">
      <alignment horizontal="center" vertical="center" wrapText="1"/>
    </xf>
    <xf numFmtId="11" fontId="26" fillId="0" borderId="260" xfId="0" applyNumberFormat="1" applyFont="1" applyBorder="1" applyAlignment="1">
      <alignment horizontal="center" vertical="center" wrapText="1"/>
    </xf>
    <xf numFmtId="164" fontId="2" fillId="0" borderId="51" xfId="0" applyFont="1" applyBorder="1" applyAlignment="1">
      <alignment horizontal="center" vertical="center" wrapText="1"/>
    </xf>
    <xf numFmtId="164" fontId="2" fillId="0" borderId="0" xfId="0" applyFont="1" applyAlignment="1">
      <alignment horizontal="center" vertical="center" wrapText="1"/>
    </xf>
    <xf numFmtId="164" fontId="2" fillId="0" borderId="41" xfId="0" applyFont="1" applyBorder="1" applyAlignment="1">
      <alignment horizontal="center" vertical="center" wrapText="1"/>
    </xf>
    <xf numFmtId="164" fontId="26" fillId="19" borderId="52" xfId="0" applyFont="1" applyFill="1" applyBorder="1" applyAlignment="1">
      <alignment horizontal="center" vertical="center" wrapText="1"/>
    </xf>
    <xf numFmtId="164" fontId="26" fillId="19" borderId="38" xfId="0" applyFont="1" applyFill="1" applyBorder="1" applyAlignment="1">
      <alignment horizontal="center" vertical="center" wrapText="1"/>
    </xf>
    <xf numFmtId="164" fontId="26" fillId="19" borderId="39" xfId="0" applyFont="1" applyFill="1" applyBorder="1" applyAlignment="1">
      <alignment horizontal="center" vertical="center" wrapText="1"/>
    </xf>
    <xf numFmtId="164" fontId="26" fillId="19" borderId="51" xfId="0" applyFont="1" applyFill="1" applyBorder="1" applyAlignment="1">
      <alignment horizontal="center" vertical="center" wrapText="1"/>
    </xf>
    <xf numFmtId="164" fontId="26" fillId="19" borderId="0" xfId="0" applyFont="1" applyFill="1" applyAlignment="1">
      <alignment horizontal="center" vertical="center" wrapText="1"/>
    </xf>
    <xf numFmtId="164" fontId="26" fillId="19" borderId="41" xfId="0" applyFont="1" applyFill="1" applyBorder="1" applyAlignment="1">
      <alignment horizontal="center" vertical="center" wrapText="1"/>
    </xf>
    <xf numFmtId="164" fontId="5" fillId="13" borderId="52" xfId="0" applyFont="1" applyFill="1" applyBorder="1" applyAlignment="1">
      <alignment horizontal="center" vertical="center" wrapText="1"/>
    </xf>
    <xf numFmtId="164" fontId="5" fillId="13" borderId="38" xfId="0" applyFont="1" applyFill="1" applyBorder="1" applyAlignment="1">
      <alignment horizontal="center" vertical="center" wrapText="1"/>
    </xf>
    <xf numFmtId="164" fontId="5" fillId="13" borderId="48" xfId="0" applyFont="1" applyFill="1" applyBorder="1" applyAlignment="1">
      <alignment horizontal="center" vertical="center" wrapText="1"/>
    </xf>
    <xf numFmtId="164" fontId="26" fillId="4" borderId="51" xfId="0" applyFont="1" applyFill="1" applyBorder="1" applyAlignment="1">
      <alignment horizontal="center" vertical="center" wrapText="1"/>
    </xf>
    <xf numFmtId="164" fontId="26" fillId="4" borderId="98" xfId="0" applyFont="1" applyFill="1" applyBorder="1" applyAlignment="1">
      <alignment horizontal="center" vertical="center" wrapText="1"/>
    </xf>
    <xf numFmtId="164" fontId="5" fillId="0" borderId="0" xfId="0" applyFont="1" applyAlignment="1">
      <alignment horizontal="center" vertical="center" wrapText="1"/>
    </xf>
    <xf numFmtId="164" fontId="43" fillId="19" borderId="106" xfId="0" applyFont="1" applyFill="1" applyBorder="1" applyAlignment="1">
      <alignment horizontal="center" vertical="center" wrapText="1"/>
    </xf>
    <xf numFmtId="164" fontId="43" fillId="19" borderId="101" xfId="0" applyFont="1" applyFill="1" applyBorder="1" applyAlignment="1">
      <alignment horizontal="center" vertical="center" wrapText="1"/>
    </xf>
    <xf numFmtId="164" fontId="46" fillId="19" borderId="51" xfId="0" applyFont="1" applyFill="1" applyBorder="1" applyAlignment="1">
      <alignment horizontal="center" vertical="center" wrapText="1"/>
    </xf>
    <xf numFmtId="164" fontId="46" fillId="19" borderId="0" xfId="0" applyFont="1" applyFill="1" applyAlignment="1">
      <alignment horizontal="center" vertical="center" wrapText="1"/>
    </xf>
    <xf numFmtId="164" fontId="11" fillId="15" borderId="7" xfId="0" applyFont="1" applyFill="1" applyBorder="1" applyAlignment="1">
      <alignment horizontal="center"/>
    </xf>
    <xf numFmtId="164" fontId="3" fillId="0" borderId="51" xfId="0" applyFont="1" applyBorder="1" applyAlignment="1">
      <alignment horizontal="center" vertical="center" wrapText="1"/>
    </xf>
    <xf numFmtId="164" fontId="3" fillId="0" borderId="49" xfId="0" applyFont="1" applyBorder="1" applyAlignment="1">
      <alignment horizontal="center" vertical="center" wrapText="1"/>
    </xf>
    <xf numFmtId="164" fontId="6" fillId="0" borderId="86" xfId="0" applyFont="1" applyBorder="1" applyAlignment="1">
      <alignment horizontal="left" vertical="center" wrapText="1"/>
    </xf>
    <xf numFmtId="164" fontId="6" fillId="0" borderId="87" xfId="0" applyFont="1" applyBorder="1" applyAlignment="1">
      <alignment horizontal="left" vertical="center" wrapText="1"/>
    </xf>
    <xf numFmtId="164" fontId="6" fillId="0" borderId="51" xfId="0" applyFont="1" applyBorder="1" applyAlignment="1">
      <alignment horizontal="left" vertical="center" wrapText="1"/>
    </xf>
    <xf numFmtId="164" fontId="6" fillId="0" borderId="0" xfId="0" applyFont="1" applyAlignment="1">
      <alignment horizontal="left" vertical="center" wrapText="1"/>
    </xf>
    <xf numFmtId="164" fontId="2" fillId="0" borderId="78" xfId="0" applyFont="1" applyBorder="1" applyAlignment="1">
      <alignment horizontal="center" vertical="center" wrapText="1"/>
    </xf>
    <xf numFmtId="164" fontId="3" fillId="0" borderId="76" xfId="0" applyFont="1" applyBorder="1" applyAlignment="1">
      <alignment horizontal="center" vertical="center" wrapText="1"/>
    </xf>
    <xf numFmtId="164" fontId="3" fillId="0" borderId="79" xfId="0" applyFont="1" applyBorder="1" applyAlignment="1">
      <alignment horizontal="center" vertical="center" wrapText="1"/>
    </xf>
    <xf numFmtId="164" fontId="3" fillId="0" borderId="76" xfId="0" applyFont="1" applyBorder="1" applyAlignment="1">
      <alignment horizontal="center" vertical="center"/>
    </xf>
    <xf numFmtId="164" fontId="3" fillId="0" borderId="76" xfId="0" applyFont="1" applyBorder="1" applyAlignment="1">
      <alignment vertical="center"/>
    </xf>
    <xf numFmtId="164" fontId="3" fillId="0" borderId="265" xfId="0" applyFont="1" applyBorder="1" applyAlignment="1">
      <alignment vertical="center"/>
    </xf>
    <xf numFmtId="164" fontId="26" fillId="0" borderId="15" xfId="0" applyFont="1" applyBorder="1" applyAlignment="1" applyProtection="1">
      <alignment horizontal="center" vertical="center"/>
      <protection locked="0"/>
    </xf>
    <xf numFmtId="164" fontId="5" fillId="0" borderId="0" xfId="0" applyFont="1" applyAlignment="1" applyProtection="1">
      <alignment horizontal="center" vertical="center"/>
      <protection locked="0"/>
    </xf>
    <xf numFmtId="164" fontId="5" fillId="0" borderId="16" xfId="0" applyFont="1" applyBorder="1" applyAlignment="1" applyProtection="1">
      <alignment horizontal="center" vertical="center"/>
      <protection locked="0"/>
    </xf>
    <xf numFmtId="164" fontId="26" fillId="0" borderId="13" xfId="0" applyFont="1" applyBorder="1" applyAlignment="1">
      <alignment horizontal="center" vertical="center"/>
    </xf>
    <xf numFmtId="164" fontId="5" fillId="0" borderId="12" xfId="0" applyFont="1" applyBorder="1" applyAlignment="1">
      <alignment horizontal="center" vertical="center"/>
    </xf>
    <xf numFmtId="164" fontId="5" fillId="0" borderId="14" xfId="0" applyFont="1" applyBorder="1" applyAlignment="1">
      <alignment horizontal="center" vertical="center"/>
    </xf>
    <xf numFmtId="164" fontId="2" fillId="0" borderId="76" xfId="0" applyFont="1" applyBorder="1" applyAlignment="1" applyProtection="1">
      <alignment horizontal="center" vertical="center"/>
      <protection locked="0"/>
    </xf>
    <xf numFmtId="164" fontId="26" fillId="0" borderId="6" xfId="0" applyFont="1" applyBorder="1" applyAlignment="1">
      <alignment horizontal="center" vertical="center"/>
    </xf>
    <xf numFmtId="164" fontId="26" fillId="0" borderId="31" xfId="0" applyFont="1" applyBorder="1" applyAlignment="1" applyProtection="1">
      <alignment horizontal="center" vertical="center"/>
      <protection locked="0"/>
    </xf>
    <xf numFmtId="164" fontId="5" fillId="0" borderId="6" xfId="0" applyFont="1" applyBorder="1" applyAlignment="1" applyProtection="1">
      <alignment horizontal="center" vertical="center"/>
      <protection locked="0"/>
    </xf>
    <xf numFmtId="164" fontId="5" fillId="0" borderId="28" xfId="0" applyFont="1" applyBorder="1" applyAlignment="1" applyProtection="1">
      <alignment horizontal="center" vertical="center"/>
      <protection locked="0"/>
    </xf>
    <xf numFmtId="164" fontId="26" fillId="0" borderId="10" xfId="0" applyFont="1" applyBorder="1" applyAlignment="1">
      <alignment horizontal="center" vertical="center"/>
    </xf>
    <xf numFmtId="164" fontId="2" fillId="0" borderId="76" xfId="0" applyFont="1" applyBorder="1" applyAlignment="1">
      <alignment horizontal="center" vertical="center"/>
    </xf>
  </cellXfs>
  <cellStyles count="4">
    <cellStyle name="Hyperlink" xfId="1" builtinId="8"/>
    <cellStyle name="Normal" xfId="0" builtinId="0"/>
    <cellStyle name="Normal 2" xfId="2" xr:uid="{00000000-0005-0000-0000-000002000000}"/>
    <cellStyle name="Normal 3" xfId="3" xr:uid="{00000000-0005-0000-0000-000003000000}"/>
  </cellStyles>
  <dxfs count="0"/>
  <tableStyles count="1" defaultTableStyle="TableStyleMedium9" defaultPivotStyle="PivotStyleLight16">
    <tableStyle name="Invisible" pivot="0" table="0" count="0" xr9:uid="{6AF4F887-9CB0-4B3A-82F7-A9B0157F351B}"/>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Toxicity.xlsx" TargetMode="External"/><Relationship Id="rId1" Type="http://schemas.openxmlformats.org/officeDocument/2006/relationships/externalLinkPath" Target="MCP%20Toxicity.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AKavian\Desktop\AK\NLT\NewF\Method-1_Feb2024\M1Feb24_DraftRevised\M1Feb24_Edited_final\M1_feb24_pblshd\M-1Feb24f\MCP%20GW2%20alpha.xlsx" TargetMode="External"/><Relationship Id="rId1" Type="http://schemas.openxmlformats.org/officeDocument/2006/relationships/externalLinkPath" Target="MCP%20GW2%20alph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Toxicity"/>
      <sheetName val="Target Risk"/>
      <sheetName val="PQLs"/>
      <sheetName val="BW"/>
      <sheetName val="Skin Surface Area"/>
      <sheetName val="References"/>
    </sheetNames>
    <definedNames>
      <definedName name="TOX" refersTo="='Toxicity'!$A$1:$CC$125"/>
    </definedNames>
    <sheetDataSet>
      <sheetData sheetId="0">
        <row r="2">
          <cell r="B2" t="str">
            <v>Development of MCP Risk-Based Levels for Soil and Groundwater</v>
          </cell>
        </row>
        <row r="4">
          <cell r="D4" t="str">
            <v>This workbook file is comprised of the following spreadsheets:</v>
          </cell>
        </row>
        <row r="6">
          <cell r="D6" t="str">
            <v>Sheet Name</v>
          </cell>
          <cell r="E6" t="str">
            <v>Description</v>
          </cell>
        </row>
        <row r="8">
          <cell r="D8" t="str">
            <v>Introduction</v>
          </cell>
          <cell r="E8" t="str">
            <v>This spreadsheet.</v>
          </cell>
        </row>
        <row r="10">
          <cell r="D10" t="str">
            <v>Toxicity</v>
          </cell>
          <cell r="E10" t="str">
            <v>Database of toxicity values and physical constants used in calculations</v>
          </cell>
        </row>
        <row r="12">
          <cell r="D12" t="str">
            <v>References</v>
          </cell>
          <cell r="E12" t="str">
            <v>List of references</v>
          </cell>
        </row>
        <row r="14">
          <cell r="D14" t="str">
            <v>Target Risk</v>
          </cell>
          <cell r="E14" t="str">
            <v>The Target Risk Levels used in all calculations.</v>
          </cell>
        </row>
        <row r="16">
          <cell r="D16" t="str">
            <v>PQLs</v>
          </cell>
          <cell r="E16" t="str">
            <v>A listing of Practical Quantitation Limits (PQLs) for various methods (incomplete)</v>
          </cell>
        </row>
        <row r="18">
          <cell r="D18" t="str">
            <v>BW</v>
          </cell>
          <cell r="E18" t="str">
            <v>Calculations of average body weights for various age groups.</v>
          </cell>
        </row>
        <row r="20">
          <cell r="D20" t="str">
            <v>Skin Surface Area</v>
          </cell>
          <cell r="E20" t="str">
            <v>Calculations of average skin surface areas for various age groups.</v>
          </cell>
        </row>
        <row r="22">
          <cell r="D22" t="str">
            <v>This workbook is one of a set that, taken together, calculates the MCP Numerical Standards.  The complete set of workbooks should be located in the same directory, as there are many internal references to the other workbooks.</v>
          </cell>
        </row>
        <row r="24">
          <cell r="D24" t="str">
            <v>Workbook Name</v>
          </cell>
          <cell r="E24" t="str">
            <v>Description</v>
          </cell>
        </row>
        <row r="26">
          <cell r="D26" t="str">
            <v>MCP Toxicity.xlsx</v>
          </cell>
          <cell r="E26" t="str">
            <v>This workbook</v>
          </cell>
        </row>
        <row r="28">
          <cell r="D28" t="str">
            <v>MCP GW2 alpha.xlsx</v>
          </cell>
          <cell r="E28" t="str">
            <v>Calculates the attenuation factor for the GW-2 standards.  This workbook is</v>
          </cell>
        </row>
        <row r="29">
          <cell r="E29" t="str">
            <v>based on the USEPA's Johnson &amp; Ettinger Vapor Infiltration spreadsheets.</v>
          </cell>
        </row>
        <row r="31">
          <cell r="D31" t="str">
            <v>MCP GW.xlsx</v>
          </cell>
          <cell r="E31" t="str">
            <v>Develops the MCP Groundwater Standards:  GW-1, GW-2 and GW-3.</v>
          </cell>
        </row>
        <row r="33">
          <cell r="D33" t="str">
            <v>MCP Soil.xlsx</v>
          </cell>
          <cell r="E33" t="str">
            <v>Develops the MCP Direct Contact Soil Standards (Method 2 Soil Standards)</v>
          </cell>
        </row>
        <row r="35">
          <cell r="D35" t="str">
            <v>MCP Leach.xlsx</v>
          </cell>
          <cell r="E35" t="str">
            <v>Develops the soil leaching-based component of the MCP Method 1 Soil Standards.</v>
          </cell>
        </row>
        <row r="37">
          <cell r="D37" t="str">
            <v>MCP Standards.xlsx</v>
          </cell>
          <cell r="E37" t="str">
            <v>Lists all the MCP Soil and Groundwater Standards, Method 3 Ceiling Limits (M3CL) and RCs.</v>
          </cell>
        </row>
        <row r="40">
          <cell r="D40" t="str">
            <v>NOTE:  This workbook contains many Notes attached to particular cells.  Notes can be seen by choosing "Show All Notes" from the  menu in the "Review" panel.</v>
          </cell>
        </row>
        <row r="42">
          <cell r="D42" t="str">
            <v>Questions and Comments may be addressed to:</v>
          </cell>
        </row>
        <row r="44">
          <cell r="D44" t="str">
            <v>Azin Kavian</v>
          </cell>
        </row>
        <row r="45">
          <cell r="D45" t="str">
            <v>Massachusetts Department of Environmental Protection</v>
          </cell>
        </row>
        <row r="46">
          <cell r="D46" t="str">
            <v>Office of Research and Standards</v>
          </cell>
        </row>
        <row r="47">
          <cell r="D47" t="str">
            <v>100 Cambridge Street
Boston, MA 02114  USA</v>
          </cell>
        </row>
        <row r="48">
          <cell r="D48" t="str">
            <v>Boston, MA 02114  USA</v>
          </cell>
        </row>
        <row r="49">
          <cell r="D49" t="str">
            <v>Email: azin.kavian@mass.gov</v>
          </cell>
        </row>
        <row r="51">
          <cell r="E51" t="str">
            <v>Method-1 Spreadsheets Version March 2024</v>
          </cell>
        </row>
      </sheetData>
      <sheetData sheetId="1">
        <row r="1">
          <cell r="BN1" t="str">
            <v>Empty 2008</v>
          </cell>
          <cell r="BW1" t="str">
            <v>Ceiling Values</v>
          </cell>
        </row>
        <row r="2">
          <cell r="A2" t="str">
            <v>OIL OR HAZARDOUS MATERIAL (OHM)</v>
          </cell>
          <cell r="B2" t="str">
            <v>CAS</v>
          </cell>
          <cell r="C2" t="str">
            <v>Last 
Checked?</v>
          </cell>
          <cell r="D2" t="str">
            <v>CHRONIC ORAL
REFERENCE
DOSE (OR
SUBSTITUTE)
mg/kg/day</v>
          </cell>
          <cell r="E2" t="str">
            <v>REF</v>
          </cell>
          <cell r="F2" t="str">
            <v>SUBCHRONIC ORAL
REFERENCE
DOSE (OR
SUBSTITUTE)
mg/kg/day</v>
          </cell>
          <cell r="G2" t="str">
            <v>REF</v>
          </cell>
          <cell r="H2" t="str">
            <v>Chronic
Inhalation
Reference
Concentration 
(or substitute)
mg/m3</v>
          </cell>
          <cell r="I2" t="str">
            <v>REF</v>
          </cell>
          <cell r="J2" t="str">
            <v>Subchronic
Inhalation
Reference
Concentration 
(or substitute)
mg/m3</v>
          </cell>
          <cell r="K2" t="str">
            <v>REF</v>
          </cell>
          <cell r="L2" t="str">
            <v>Oral
Cancer
Slope
Factor
1/(mg/kg/day)</v>
          </cell>
          <cell r="M2" t="str">
            <v>CLASS</v>
          </cell>
          <cell r="N2" t="str">
            <v>REF</v>
          </cell>
          <cell r="O2" t="str">
            <v>Inhalation
Unit
Risk
1/(µg/m3)</v>
          </cell>
          <cell r="P2" t="str">
            <v>REF</v>
          </cell>
          <cell r="Q2" t="str">
            <v>Chronic
Ingestion</v>
          </cell>
          <cell r="R2" t="str">
            <v>REF</v>
          </cell>
          <cell r="S2" t="str">
            <v>Chronic
Dermal</v>
          </cell>
          <cell r="T2" t="str">
            <v>REF</v>
          </cell>
          <cell r="U2" t="str">
            <v>Subchronic
Ingestion</v>
          </cell>
          <cell r="V2" t="str">
            <v>SOIL RAFs
REF</v>
          </cell>
          <cell r="W2" t="str">
            <v>Subchronic
Dermal</v>
          </cell>
          <cell r="X2" t="str">
            <v>REF</v>
          </cell>
          <cell r="Y2" t="str">
            <v>Cancer
Ingestion</v>
          </cell>
          <cell r="Z2" t="str">
            <v>REF</v>
          </cell>
          <cell r="AA2" t="str">
            <v>Cancer
Dermal</v>
          </cell>
          <cell r="AB2" t="str">
            <v>REF</v>
          </cell>
          <cell r="AC2" t="str">
            <v>Subchronic
Ingestion</v>
          </cell>
          <cell r="AD2" t="str">
            <v>REF</v>
          </cell>
          <cell r="AE2" t="str">
            <v>WATER
RAFs
Chronic
Ingestion</v>
          </cell>
          <cell r="AF2" t="str">
            <v>REF</v>
          </cell>
          <cell r="AG2" t="str">
            <v>Cancer
Ingestion</v>
          </cell>
          <cell r="AH2" t="str">
            <v>REF</v>
          </cell>
          <cell r="AI2" t="str">
            <v>SOIL Urban
Background
mg/kg</v>
          </cell>
          <cell r="AJ2" t="str">
            <v>Mutagenic Mode of Action for ADAFs</v>
          </cell>
          <cell r="AK2" t="str">
            <v>DWDermal
Oral
Absorption
Efficiency
OAEnoncancer</v>
          </cell>
          <cell r="AL2" t="str">
            <v>DWDermal
Oral
Absorption
Efficiency
OAEcancer</v>
          </cell>
          <cell r="AM2" t="str">
            <v>SOIL Natural
Background
mg/kg</v>
          </cell>
          <cell r="AN2" t="str">
            <v>GW
Background
µg/L</v>
          </cell>
          <cell r="AO2" t="str">
            <v>Indoor
Air
Background
µg/m3</v>
          </cell>
          <cell r="AP2" t="str">
            <v>HIDE
Interim
Calc
µg/m3</v>
          </cell>
          <cell r="AQ2" t="str">
            <v>HIDE
Interim
Calc
ppbv</v>
          </cell>
          <cell r="AR2" t="str">
            <v>Odor
Threshold
in water
µg/L</v>
          </cell>
          <cell r="AS2" t="str">
            <v>REF</v>
          </cell>
          <cell r="AT2" t="str">
            <v>Odor
Threshold
in air
µg/m3</v>
          </cell>
          <cell r="AU2" t="str">
            <v>Odor
Threshold
in air
ppm</v>
          </cell>
          <cell r="AV2" t="str">
            <v>REF</v>
          </cell>
          <cell r="AW2" t="str">
            <v>Odor
Index</v>
          </cell>
          <cell r="AX2" t="str">
            <v>Soil
PQL
mg/kg</v>
          </cell>
          <cell r="AY2" t="str">
            <v>Water
PQL
µg/L</v>
          </cell>
          <cell r="AZ2" t="str">
            <v>SOLUBILITY
µg/L</v>
          </cell>
          <cell r="BA2" t="str">
            <v>REF</v>
          </cell>
          <cell r="BB2" t="str">
            <v>HENRY'S
LAW
CONSTANT
atm-m3/mol</v>
          </cell>
          <cell r="BC2" t="str">
            <v>REF</v>
          </cell>
          <cell r="BD2" t="str">
            <v>HENRY'S
LAW
CONSTANT
conc/conc</v>
          </cell>
          <cell r="BE2" t="str">
            <v>Molecular
Weight
g/mole</v>
          </cell>
          <cell r="BF2" t="str">
            <v>REF</v>
          </cell>
          <cell r="BG2" t="str">
            <v>Vapor
Pressure
Torr
20-30 C</v>
          </cell>
          <cell r="BH2" t="str">
            <v>log
Kow</v>
          </cell>
          <cell r="BI2" t="str">
            <v>REF</v>
          </cell>
          <cell r="BJ2" t="str">
            <v>Koc
ml/g</v>
          </cell>
          <cell r="BK2" t="str">
            <v>REF</v>
          </cell>
          <cell r="BL2" t="str">
            <v>Melting
Point
C</v>
          </cell>
          <cell r="BM2" t="str">
            <v>REF</v>
          </cell>
          <cell r="BN2" t="str">
            <v>Soil
Saturation
Level
(Csat)
mg/kg</v>
          </cell>
          <cell r="BO2" t="str">
            <v>Permeability
Coefficient
Kp
cm/hr</v>
          </cell>
          <cell r="BP2" t="str">
            <v>Plant
Uptake
Factor
Kg-soil/Kg-plant</v>
          </cell>
          <cell r="BQ2" t="str">
            <v>REF</v>
          </cell>
          <cell r="BR2" t="str">
            <v>old csat calc</v>
          </cell>
          <cell r="BS2" t="str">
            <v>S-1
Based on
Volatility
mg/kg</v>
          </cell>
          <cell r="BT2" t="str">
            <v>S-1
Ceiling
Basis</v>
          </cell>
          <cell r="BU2" t="str">
            <v>old csat calc</v>
          </cell>
          <cell r="BV2" t="str">
            <v>S-2
Based on
Volatility
mg/kg</v>
          </cell>
          <cell r="BW2" t="str">
            <v>S-2
Ceiling
Basis</v>
          </cell>
          <cell r="BX2" t="str">
            <v>old csat calc</v>
          </cell>
          <cell r="BY2" t="str">
            <v>S-3
Based on
Volatility
mg/kg</v>
          </cell>
          <cell r="BZ2" t="str">
            <v>S-3
Ceiling
Basis</v>
          </cell>
          <cell r="CA2" t="str">
            <v>Groundwater
GW-1, -2 and -3
µg/L</v>
          </cell>
          <cell r="CB2" t="str">
            <v>Ceiling
Basis</v>
          </cell>
          <cell r="CC2" t="str">
            <v>Inorganic Compound</v>
          </cell>
        </row>
        <row r="3">
          <cell r="A3" t="str">
            <v>ACENAPHTHENE</v>
          </cell>
          <cell r="B3" t="str">
            <v>83-32-9</v>
          </cell>
          <cell r="C3">
            <v>42922</v>
          </cell>
          <cell r="D3">
            <v>0.06</v>
          </cell>
          <cell r="E3">
            <v>1</v>
          </cell>
          <cell r="F3">
            <v>0.2</v>
          </cell>
          <cell r="G3">
            <v>6</v>
          </cell>
          <cell r="H3">
            <v>0.05</v>
          </cell>
          <cell r="I3" t="str">
            <v>5d</v>
          </cell>
          <cell r="J3">
            <v>0.5</v>
          </cell>
          <cell r="K3" t="str">
            <v>5d</v>
          </cell>
          <cell r="Q3">
            <v>0.3</v>
          </cell>
          <cell r="R3" t="str">
            <v>9d</v>
          </cell>
          <cell r="S3">
            <v>0.1</v>
          </cell>
          <cell r="T3" t="str">
            <v>9d</v>
          </cell>
          <cell r="U3">
            <v>0.3</v>
          </cell>
          <cell r="V3" t="str">
            <v>9d</v>
          </cell>
          <cell r="W3">
            <v>0.1</v>
          </cell>
          <cell r="X3" t="str">
            <v>9d</v>
          </cell>
          <cell r="Y3" t="str">
            <v>NC</v>
          </cell>
          <cell r="AA3" t="str">
            <v>NC</v>
          </cell>
          <cell r="AC3">
            <v>1</v>
          </cell>
          <cell r="AD3">
            <v>9</v>
          </cell>
          <cell r="AE3">
            <v>1</v>
          </cell>
          <cell r="AF3">
            <v>9</v>
          </cell>
          <cell r="AI3">
            <v>2</v>
          </cell>
          <cell r="AK3">
            <v>0.92</v>
          </cell>
          <cell r="AL3">
            <v>0.92</v>
          </cell>
          <cell r="AM3">
            <v>0.5</v>
          </cell>
          <cell r="AN3">
            <v>0</v>
          </cell>
          <cell r="AO3">
            <v>0</v>
          </cell>
          <cell r="AR3">
            <v>20</v>
          </cell>
          <cell r="AS3">
            <v>13</v>
          </cell>
          <cell r="AU3">
            <v>0</v>
          </cell>
          <cell r="AW3">
            <v>0</v>
          </cell>
          <cell r="AX3">
            <v>0.66</v>
          </cell>
          <cell r="AY3">
            <v>10</v>
          </cell>
          <cell r="AZ3">
            <v>3900</v>
          </cell>
          <cell r="BA3">
            <v>22</v>
          </cell>
          <cell r="BB3">
            <v>1.84E-4</v>
          </cell>
          <cell r="BC3">
            <v>22</v>
          </cell>
          <cell r="BD3">
            <v>7.5298739564576859E-3</v>
          </cell>
          <cell r="BE3">
            <v>154</v>
          </cell>
          <cell r="BF3">
            <v>13</v>
          </cell>
          <cell r="BH3">
            <v>3.92</v>
          </cell>
          <cell r="BI3">
            <v>17</v>
          </cell>
          <cell r="BJ3">
            <v>4900</v>
          </cell>
          <cell r="BK3" t="str">
            <v>17a</v>
          </cell>
          <cell r="BL3">
            <v>93.4</v>
          </cell>
          <cell r="BM3">
            <v>17</v>
          </cell>
          <cell r="BO3">
            <v>8.4100775406923345E-2</v>
          </cell>
          <cell r="BS3">
            <v>1000</v>
          </cell>
          <cell r="BT3" t="str">
            <v>Ceiling (High)</v>
          </cell>
          <cell r="BV3">
            <v>3000</v>
          </cell>
          <cell r="BW3" t="str">
            <v>Ceiling (High)</v>
          </cell>
          <cell r="BY3">
            <v>5000</v>
          </cell>
          <cell r="BZ3" t="str">
            <v>Ceiling (High)</v>
          </cell>
          <cell r="CA3">
            <v>50000</v>
          </cell>
          <cell r="CB3" t="str">
            <v>0.005%</v>
          </cell>
        </row>
        <row r="4">
          <cell r="A4" t="str">
            <v>ACENAPHTHYLENE</v>
          </cell>
          <cell r="B4" t="str">
            <v>208-96-8</v>
          </cell>
          <cell r="C4">
            <v>42922</v>
          </cell>
          <cell r="D4">
            <v>0.03</v>
          </cell>
          <cell r="E4" t="str">
            <v>5d</v>
          </cell>
          <cell r="F4">
            <v>0.3</v>
          </cell>
          <cell r="G4" t="str">
            <v>5d</v>
          </cell>
          <cell r="H4">
            <v>0.05</v>
          </cell>
          <cell r="I4" t="str">
            <v>5d</v>
          </cell>
          <cell r="J4">
            <v>0.5</v>
          </cell>
          <cell r="K4" t="str">
            <v>5d</v>
          </cell>
          <cell r="M4" t="str">
            <v>D</v>
          </cell>
          <cell r="N4">
            <v>1</v>
          </cell>
          <cell r="Q4">
            <v>0.3</v>
          </cell>
          <cell r="R4" t="str">
            <v>9d</v>
          </cell>
          <cell r="S4">
            <v>0.1</v>
          </cell>
          <cell r="T4" t="str">
            <v>9d</v>
          </cell>
          <cell r="U4">
            <v>0.3</v>
          </cell>
          <cell r="V4" t="str">
            <v>9e</v>
          </cell>
          <cell r="W4">
            <v>0.1</v>
          </cell>
          <cell r="X4" t="str">
            <v>9d</v>
          </cell>
          <cell r="Y4" t="str">
            <v>NC</v>
          </cell>
          <cell r="AA4" t="str">
            <v>NC</v>
          </cell>
          <cell r="AC4">
            <v>1</v>
          </cell>
          <cell r="AD4">
            <v>9</v>
          </cell>
          <cell r="AE4">
            <v>1</v>
          </cell>
          <cell r="AF4">
            <v>9</v>
          </cell>
          <cell r="AI4">
            <v>1</v>
          </cell>
          <cell r="AK4">
            <v>0.92</v>
          </cell>
          <cell r="AL4">
            <v>0.92</v>
          </cell>
          <cell r="AM4">
            <v>0.5</v>
          </cell>
          <cell r="AO4">
            <v>0</v>
          </cell>
          <cell r="AU4">
            <v>0</v>
          </cell>
          <cell r="AW4">
            <v>0</v>
          </cell>
          <cell r="AX4">
            <v>0.66</v>
          </cell>
          <cell r="AY4">
            <v>0.5</v>
          </cell>
          <cell r="AZ4">
            <v>16100</v>
          </cell>
          <cell r="BA4">
            <v>22</v>
          </cell>
          <cell r="BB4">
            <v>1.1400000000000001E-4</v>
          </cell>
          <cell r="BC4">
            <v>22</v>
          </cell>
          <cell r="BD4">
            <v>4.6652479947618276E-3</v>
          </cell>
          <cell r="BE4">
            <v>154</v>
          </cell>
          <cell r="BF4">
            <v>13</v>
          </cell>
          <cell r="BG4">
            <v>2.9000000000000001E-2</v>
          </cell>
          <cell r="BH4">
            <v>3.94</v>
          </cell>
          <cell r="BI4">
            <v>13</v>
          </cell>
          <cell r="BJ4">
            <v>2500</v>
          </cell>
          <cell r="BK4">
            <v>13</v>
          </cell>
          <cell r="BO4">
            <v>8.669618757582169E-2</v>
          </cell>
          <cell r="BS4">
            <v>1000</v>
          </cell>
          <cell r="BT4" t="str">
            <v>Ceiling (High)</v>
          </cell>
          <cell r="BV4">
            <v>3000</v>
          </cell>
          <cell r="BW4" t="str">
            <v>Ceiling (High)</v>
          </cell>
          <cell r="BY4">
            <v>5000</v>
          </cell>
          <cell r="BZ4" t="str">
            <v>Ceiling (High)</v>
          </cell>
          <cell r="CA4">
            <v>50000</v>
          </cell>
          <cell r="CB4" t="str">
            <v>0.005%</v>
          </cell>
        </row>
        <row r="5">
          <cell r="A5" t="str">
            <v>ACETONE</v>
          </cell>
          <cell r="B5" t="str">
            <v>67-64-1</v>
          </cell>
          <cell r="C5">
            <v>42922</v>
          </cell>
          <cell r="D5">
            <v>0.9</v>
          </cell>
          <cell r="E5">
            <v>1</v>
          </cell>
          <cell r="F5">
            <v>2.7</v>
          </cell>
          <cell r="G5" t="str">
            <v>1i</v>
          </cell>
          <cell r="H5">
            <v>0.8</v>
          </cell>
          <cell r="I5">
            <v>3</v>
          </cell>
          <cell r="J5">
            <v>0.8</v>
          </cell>
          <cell r="K5" t="str">
            <v>7c</v>
          </cell>
          <cell r="M5" t="str">
            <v>D</v>
          </cell>
          <cell r="N5">
            <v>1</v>
          </cell>
          <cell r="Q5">
            <v>1</v>
          </cell>
          <cell r="R5" t="str">
            <v>9e</v>
          </cell>
          <cell r="S5">
            <v>0.03</v>
          </cell>
          <cell r="T5" t="str">
            <v>9e</v>
          </cell>
          <cell r="U5">
            <v>1</v>
          </cell>
          <cell r="V5" t="str">
            <v>9e</v>
          </cell>
          <cell r="W5">
            <v>0.03</v>
          </cell>
          <cell r="X5" t="str">
            <v>9e</v>
          </cell>
          <cell r="Y5" t="str">
            <v>NC</v>
          </cell>
          <cell r="AA5" t="str">
            <v>NC</v>
          </cell>
          <cell r="AC5">
            <v>1</v>
          </cell>
          <cell r="AD5">
            <v>9</v>
          </cell>
          <cell r="AE5">
            <v>1</v>
          </cell>
          <cell r="AF5">
            <v>9</v>
          </cell>
          <cell r="AK5">
            <v>1</v>
          </cell>
          <cell r="AL5" t="str">
            <v>NC</v>
          </cell>
          <cell r="AO5">
            <v>91</v>
          </cell>
          <cell r="AQ5">
            <v>11.4</v>
          </cell>
          <cell r="AR5">
            <v>20000</v>
          </cell>
          <cell r="AS5">
            <v>13</v>
          </cell>
          <cell r="AT5">
            <v>30862</v>
          </cell>
          <cell r="AU5">
            <v>13.010611494252872</v>
          </cell>
          <cell r="AV5">
            <v>13</v>
          </cell>
          <cell r="AW5">
            <v>20.752291321531356</v>
          </cell>
          <cell r="AX5">
            <v>0.1</v>
          </cell>
          <cell r="AY5">
            <v>100</v>
          </cell>
          <cell r="AZ5">
            <v>1000000000</v>
          </cell>
          <cell r="BA5">
            <v>22</v>
          </cell>
          <cell r="BB5">
            <v>3.9700000000000003E-5</v>
          </cell>
          <cell r="BC5">
            <v>22</v>
          </cell>
          <cell r="BD5">
            <v>1.6246521525617942E-3</v>
          </cell>
          <cell r="BE5">
            <v>58</v>
          </cell>
          <cell r="BF5">
            <v>13</v>
          </cell>
          <cell r="BG5">
            <v>270</v>
          </cell>
          <cell r="BH5">
            <v>-0.24</v>
          </cell>
          <cell r="BI5">
            <v>17</v>
          </cell>
          <cell r="BJ5">
            <v>0.57499999999999996</v>
          </cell>
          <cell r="BK5" t="str">
            <v>17b</v>
          </cell>
          <cell r="BL5">
            <v>-94.8</v>
          </cell>
          <cell r="BM5">
            <v>17</v>
          </cell>
          <cell r="BO5">
            <v>5.2095474732855506E-4</v>
          </cell>
          <cell r="BS5">
            <v>500</v>
          </cell>
          <cell r="BT5" t="str">
            <v>Ceiling (Medium)</v>
          </cell>
          <cell r="BV5">
            <v>1000</v>
          </cell>
          <cell r="BW5" t="str">
            <v>Ceiling (Medium)</v>
          </cell>
          <cell r="BY5">
            <v>3000</v>
          </cell>
          <cell r="BZ5" t="str">
            <v>Ceiling (Medium)</v>
          </cell>
          <cell r="CA5">
            <v>50000</v>
          </cell>
          <cell r="CB5" t="str">
            <v>0.005%</v>
          </cell>
        </row>
        <row r="6">
          <cell r="A6" t="str">
            <v>ALDRIN</v>
          </cell>
          <cell r="B6" t="str">
            <v>309-00-2</v>
          </cell>
          <cell r="C6">
            <v>42922</v>
          </cell>
          <cell r="D6">
            <v>3.0000000000000001E-5</v>
          </cell>
          <cell r="E6">
            <v>1</v>
          </cell>
          <cell r="F6">
            <v>4.0000000000000003E-5</v>
          </cell>
          <cell r="G6">
            <v>6</v>
          </cell>
          <cell r="H6">
            <v>1.1E-4</v>
          </cell>
          <cell r="I6" t="str">
            <v>7b</v>
          </cell>
          <cell r="J6">
            <v>2.0000000000000001E-4</v>
          </cell>
          <cell r="K6" t="str">
            <v>7b</v>
          </cell>
          <cell r="L6">
            <v>17</v>
          </cell>
          <cell r="M6" t="str">
            <v>B2</v>
          </cell>
          <cell r="N6">
            <v>1</v>
          </cell>
          <cell r="O6">
            <v>4.8999999999999998E-3</v>
          </cell>
          <cell r="P6">
            <v>1</v>
          </cell>
          <cell r="Q6">
            <v>1</v>
          </cell>
          <cell r="R6" t="str">
            <v>9e</v>
          </cell>
          <cell r="S6">
            <v>0.1</v>
          </cell>
          <cell r="T6" t="str">
            <v>9e</v>
          </cell>
          <cell r="U6">
            <v>1</v>
          </cell>
          <cell r="V6" t="str">
            <v>9e</v>
          </cell>
          <cell r="W6">
            <v>0.1</v>
          </cell>
          <cell r="X6" t="str">
            <v>9e</v>
          </cell>
          <cell r="Y6">
            <v>1</v>
          </cell>
          <cell r="Z6" t="str">
            <v>9e</v>
          </cell>
          <cell r="AA6">
            <v>0.1</v>
          </cell>
          <cell r="AB6" t="str">
            <v>9e</v>
          </cell>
          <cell r="AC6">
            <v>1</v>
          </cell>
          <cell r="AD6">
            <v>9</v>
          </cell>
          <cell r="AE6">
            <v>1</v>
          </cell>
          <cell r="AF6">
            <v>9</v>
          </cell>
          <cell r="AG6">
            <v>1</v>
          </cell>
          <cell r="AH6">
            <v>9</v>
          </cell>
          <cell r="AK6">
            <v>0.8</v>
          </cell>
          <cell r="AL6">
            <v>0.8</v>
          </cell>
          <cell r="AO6">
            <v>0</v>
          </cell>
          <cell r="AR6">
            <v>17</v>
          </cell>
          <cell r="AS6">
            <v>13</v>
          </cell>
          <cell r="AT6">
            <v>263</v>
          </cell>
          <cell r="AU6">
            <v>1.7618321039690899E-2</v>
          </cell>
          <cell r="AV6">
            <v>28</v>
          </cell>
          <cell r="AW6">
            <v>1.3054592403092865E-3</v>
          </cell>
          <cell r="AX6">
            <v>2.6800000000000001E-3</v>
          </cell>
          <cell r="AY6">
            <v>0.5</v>
          </cell>
          <cell r="AZ6">
            <v>17</v>
          </cell>
          <cell r="BA6">
            <v>22</v>
          </cell>
          <cell r="BB6">
            <v>4.3999999999999999E-5</v>
          </cell>
          <cell r="BC6">
            <v>22</v>
          </cell>
          <cell r="BD6">
            <v>1.8006220330659681E-3</v>
          </cell>
          <cell r="BE6">
            <v>365</v>
          </cell>
          <cell r="BF6">
            <v>13</v>
          </cell>
          <cell r="BG6">
            <v>2.3E-5</v>
          </cell>
          <cell r="BH6">
            <v>6.5</v>
          </cell>
          <cell r="BI6">
            <v>16</v>
          </cell>
          <cell r="BJ6">
            <v>48700</v>
          </cell>
          <cell r="BK6" t="str">
            <v>17a</v>
          </cell>
          <cell r="BL6">
            <v>104</v>
          </cell>
          <cell r="BM6">
            <v>17</v>
          </cell>
          <cell r="BO6">
            <v>0.27925438412373388</v>
          </cell>
          <cell r="BS6">
            <v>1000</v>
          </cell>
          <cell r="BT6" t="str">
            <v>Ceiling (High)</v>
          </cell>
          <cell r="BV6">
            <v>3000</v>
          </cell>
          <cell r="BW6" t="str">
            <v>Ceiling (High)</v>
          </cell>
          <cell r="BY6">
            <v>5000</v>
          </cell>
          <cell r="BZ6" t="str">
            <v>Ceiling (High)</v>
          </cell>
          <cell r="CA6">
            <v>50000</v>
          </cell>
          <cell r="CB6" t="str">
            <v>0.005%</v>
          </cell>
        </row>
        <row r="7">
          <cell r="A7" t="str">
            <v>ANTHRACENE</v>
          </cell>
          <cell r="B7" t="str">
            <v>120-12-7</v>
          </cell>
          <cell r="C7">
            <v>42922</v>
          </cell>
          <cell r="D7">
            <v>0.3</v>
          </cell>
          <cell r="E7">
            <v>1</v>
          </cell>
          <cell r="F7">
            <v>1</v>
          </cell>
          <cell r="G7">
            <v>6</v>
          </cell>
          <cell r="H7">
            <v>0.05</v>
          </cell>
          <cell r="I7" t="str">
            <v>5d</v>
          </cell>
          <cell r="J7">
            <v>0.5</v>
          </cell>
          <cell r="K7" t="str">
            <v>5d</v>
          </cell>
          <cell r="M7" t="str">
            <v>D</v>
          </cell>
          <cell r="N7">
            <v>1</v>
          </cell>
          <cell r="Q7">
            <v>0.3</v>
          </cell>
          <cell r="R7" t="str">
            <v>9d</v>
          </cell>
          <cell r="S7">
            <v>0.1</v>
          </cell>
          <cell r="T7" t="str">
            <v>9d</v>
          </cell>
          <cell r="U7">
            <v>0.3</v>
          </cell>
          <cell r="V7" t="str">
            <v>9d</v>
          </cell>
          <cell r="W7">
            <v>0.1</v>
          </cell>
          <cell r="X7" t="str">
            <v>9d</v>
          </cell>
          <cell r="Y7" t="str">
            <v>NC</v>
          </cell>
          <cell r="AA7" t="str">
            <v>NC</v>
          </cell>
          <cell r="AC7">
            <v>1</v>
          </cell>
          <cell r="AD7">
            <v>9</v>
          </cell>
          <cell r="AE7">
            <v>1</v>
          </cell>
          <cell r="AF7">
            <v>9</v>
          </cell>
          <cell r="AI7">
            <v>4</v>
          </cell>
          <cell r="AK7">
            <v>0.92</v>
          </cell>
          <cell r="AL7" t="str">
            <v>NC</v>
          </cell>
          <cell r="AM7">
            <v>1</v>
          </cell>
          <cell r="AO7">
            <v>0</v>
          </cell>
          <cell r="AU7">
            <v>0</v>
          </cell>
          <cell r="AW7">
            <v>0</v>
          </cell>
          <cell r="AX7">
            <v>0.66</v>
          </cell>
          <cell r="AY7">
            <v>0.5</v>
          </cell>
          <cell r="AZ7">
            <v>43.4</v>
          </cell>
          <cell r="BA7">
            <v>22</v>
          </cell>
          <cell r="BB7">
            <v>5.5600000000000003E-5</v>
          </cell>
          <cell r="BC7">
            <v>22</v>
          </cell>
          <cell r="BD7">
            <v>2.2753314781469966E-3</v>
          </cell>
          <cell r="BE7">
            <v>178</v>
          </cell>
          <cell r="BF7">
            <v>13</v>
          </cell>
          <cell r="BG7">
            <v>1.7E-5</v>
          </cell>
          <cell r="BH7">
            <v>4.45</v>
          </cell>
          <cell r="BI7">
            <v>17</v>
          </cell>
          <cell r="BJ7">
            <v>23500</v>
          </cell>
          <cell r="BK7" t="str">
            <v>17a</v>
          </cell>
          <cell r="BL7">
            <v>215</v>
          </cell>
          <cell r="BM7">
            <v>17</v>
          </cell>
          <cell r="BO7">
            <v>0.13810201014445478</v>
          </cell>
          <cell r="BS7">
            <v>1000</v>
          </cell>
          <cell r="BT7" t="str">
            <v>Ceiling (High)</v>
          </cell>
          <cell r="BV7">
            <v>3000</v>
          </cell>
          <cell r="BW7" t="str">
            <v>Ceiling (High)</v>
          </cell>
          <cell r="BY7">
            <v>5000</v>
          </cell>
          <cell r="BZ7" t="str">
            <v>Ceiling (High)</v>
          </cell>
          <cell r="CA7">
            <v>50000</v>
          </cell>
          <cell r="CB7" t="str">
            <v>0.005%</v>
          </cell>
        </row>
        <row r="8">
          <cell r="A8" t="str">
            <v>ANTIMONY</v>
          </cell>
          <cell r="B8" t="str">
            <v>7440-36-0</v>
          </cell>
          <cell r="C8">
            <v>42922</v>
          </cell>
          <cell r="D8">
            <v>4.0000000000000002E-4</v>
          </cell>
          <cell r="E8">
            <v>1</v>
          </cell>
          <cell r="F8">
            <v>4.0000000000000002E-4</v>
          </cell>
          <cell r="G8">
            <v>6</v>
          </cell>
          <cell r="H8">
            <v>2.0000000000000001E-4</v>
          </cell>
          <cell r="I8">
            <v>1</v>
          </cell>
          <cell r="J8">
            <v>2.0000000000000001E-4</v>
          </cell>
          <cell r="K8">
            <v>6</v>
          </cell>
          <cell r="Q8">
            <v>1</v>
          </cell>
          <cell r="R8" t="str">
            <v>9e</v>
          </cell>
          <cell r="S8">
            <v>0.1</v>
          </cell>
          <cell r="T8" t="str">
            <v>9e</v>
          </cell>
          <cell r="U8">
            <v>1</v>
          </cell>
          <cell r="V8" t="str">
            <v>9e</v>
          </cell>
          <cell r="W8">
            <v>0.1</v>
          </cell>
          <cell r="X8" t="str">
            <v>9e</v>
          </cell>
          <cell r="Y8" t="str">
            <v>NC</v>
          </cell>
          <cell r="AA8" t="str">
            <v>NC</v>
          </cell>
          <cell r="AC8">
            <v>1</v>
          </cell>
          <cell r="AD8">
            <v>9</v>
          </cell>
          <cell r="AE8">
            <v>1</v>
          </cell>
          <cell r="AF8">
            <v>9</v>
          </cell>
          <cell r="AI8">
            <v>7</v>
          </cell>
          <cell r="AK8">
            <v>0.1</v>
          </cell>
          <cell r="AL8" t="str">
            <v>NC</v>
          </cell>
          <cell r="AM8">
            <v>1</v>
          </cell>
          <cell r="AO8">
            <v>0</v>
          </cell>
          <cell r="AU8">
            <v>0</v>
          </cell>
          <cell r="AW8">
            <v>0</v>
          </cell>
          <cell r="AX8">
            <v>6.4</v>
          </cell>
          <cell r="AY8">
            <v>32</v>
          </cell>
          <cell r="AZ8">
            <v>0</v>
          </cell>
          <cell r="BD8">
            <v>0</v>
          </cell>
          <cell r="BE8">
            <v>122</v>
          </cell>
          <cell r="BF8">
            <v>13</v>
          </cell>
          <cell r="BH8">
            <v>0.73</v>
          </cell>
          <cell r="BJ8">
            <v>0</v>
          </cell>
          <cell r="BO8">
            <v>1E-3</v>
          </cell>
          <cell r="BS8">
            <v>1000</v>
          </cell>
          <cell r="BT8" t="str">
            <v>Ceiling (High)</v>
          </cell>
          <cell r="BV8">
            <v>3000</v>
          </cell>
          <cell r="BW8" t="str">
            <v>Ceiling (High)</v>
          </cell>
          <cell r="BY8">
            <v>5000</v>
          </cell>
          <cell r="BZ8" t="str">
            <v>Ceiling (High)</v>
          </cell>
          <cell r="CA8">
            <v>50000</v>
          </cell>
          <cell r="CB8" t="str">
            <v>0.005%</v>
          </cell>
          <cell r="CC8" t="str">
            <v>Y</v>
          </cell>
        </row>
        <row r="9">
          <cell r="A9" t="str">
            <v>ARSENIC</v>
          </cell>
          <cell r="B9" t="str">
            <v>7440-38-2</v>
          </cell>
          <cell r="C9">
            <v>42923</v>
          </cell>
          <cell r="D9">
            <v>2.9999999999999997E-4</v>
          </cell>
          <cell r="E9">
            <v>1</v>
          </cell>
          <cell r="F9">
            <v>2.9999999999999997E-4</v>
          </cell>
          <cell r="G9">
            <v>2</v>
          </cell>
          <cell r="H9">
            <v>2.0000000000000002E-5</v>
          </cell>
          <cell r="I9" t="str">
            <v>3a</v>
          </cell>
          <cell r="J9">
            <v>2.0000000000000002E-5</v>
          </cell>
          <cell r="K9" t="str">
            <v>7c</v>
          </cell>
          <cell r="L9">
            <v>1.5</v>
          </cell>
          <cell r="M9" t="str">
            <v>A</v>
          </cell>
          <cell r="N9">
            <v>1</v>
          </cell>
          <cell r="O9">
            <v>3.0000000000000001E-3</v>
          </cell>
          <cell r="P9" t="str">
            <v>3a</v>
          </cell>
          <cell r="Q9">
            <v>0.5</v>
          </cell>
          <cell r="R9" t="str">
            <v>9e</v>
          </cell>
          <cell r="S9">
            <v>0.03</v>
          </cell>
          <cell r="T9" t="str">
            <v>9f</v>
          </cell>
          <cell r="U9">
            <v>0.5</v>
          </cell>
          <cell r="V9" t="str">
            <v>9e</v>
          </cell>
          <cell r="W9">
            <v>0.03</v>
          </cell>
          <cell r="X9" t="str">
            <v>9f</v>
          </cell>
          <cell r="Y9">
            <v>0.5</v>
          </cell>
          <cell r="Z9" t="str">
            <v>9e</v>
          </cell>
          <cell r="AA9">
            <v>0.03</v>
          </cell>
          <cell r="AB9" t="str">
            <v>9e</v>
          </cell>
          <cell r="AC9">
            <v>1</v>
          </cell>
          <cell r="AD9">
            <v>9</v>
          </cell>
          <cell r="AE9">
            <v>1</v>
          </cell>
          <cell r="AF9">
            <v>9</v>
          </cell>
          <cell r="AG9">
            <v>1</v>
          </cell>
          <cell r="AH9">
            <v>9</v>
          </cell>
          <cell r="AI9">
            <v>20</v>
          </cell>
          <cell r="AK9">
            <v>0.98</v>
          </cell>
          <cell r="AL9">
            <v>0.98</v>
          </cell>
          <cell r="AM9">
            <v>20</v>
          </cell>
          <cell r="AN9">
            <v>5.5</v>
          </cell>
          <cell r="AO9">
            <v>0</v>
          </cell>
          <cell r="AU9">
            <v>0</v>
          </cell>
          <cell r="AW9">
            <v>0</v>
          </cell>
          <cell r="AX9">
            <v>10.6</v>
          </cell>
          <cell r="AY9">
            <v>50</v>
          </cell>
          <cell r="AZ9">
            <v>0</v>
          </cell>
          <cell r="BD9">
            <v>0</v>
          </cell>
          <cell r="BE9">
            <v>75</v>
          </cell>
          <cell r="BF9">
            <v>13</v>
          </cell>
          <cell r="BH9">
            <v>0.68</v>
          </cell>
          <cell r="BJ9">
            <v>0</v>
          </cell>
          <cell r="BO9">
            <v>1E-3</v>
          </cell>
          <cell r="BP9">
            <v>0.05</v>
          </cell>
          <cell r="BS9">
            <v>1000</v>
          </cell>
          <cell r="BT9" t="str">
            <v>Ceiling (High)</v>
          </cell>
          <cell r="BV9">
            <v>3000</v>
          </cell>
          <cell r="BW9" t="str">
            <v>Ceiling (High)</v>
          </cell>
          <cell r="BY9">
            <v>5000</v>
          </cell>
          <cell r="BZ9" t="str">
            <v>Ceiling (High)</v>
          </cell>
          <cell r="CA9">
            <v>50000</v>
          </cell>
          <cell r="CB9" t="str">
            <v>0.005%</v>
          </cell>
          <cell r="CC9" t="str">
            <v>Y</v>
          </cell>
        </row>
        <row r="10">
          <cell r="A10" t="str">
            <v>BARIUM</v>
          </cell>
          <cell r="B10" t="str">
            <v>7440-39-3</v>
          </cell>
          <cell r="C10">
            <v>42923</v>
          </cell>
          <cell r="D10">
            <v>0.2</v>
          </cell>
          <cell r="E10">
            <v>1</v>
          </cell>
          <cell r="F10">
            <v>0.2</v>
          </cell>
          <cell r="G10" t="str">
            <v>1d</v>
          </cell>
          <cell r="H10">
            <v>5.0000000000000001E-4</v>
          </cell>
          <cell r="I10" t="str">
            <v>2e</v>
          </cell>
          <cell r="J10">
            <v>5.0000000000000001E-3</v>
          </cell>
          <cell r="K10" t="str">
            <v>2b</v>
          </cell>
          <cell r="Q10">
            <v>1</v>
          </cell>
          <cell r="R10" t="str">
            <v>9e</v>
          </cell>
          <cell r="S10">
            <v>0.1</v>
          </cell>
          <cell r="T10" t="str">
            <v>9e</v>
          </cell>
          <cell r="U10">
            <v>1</v>
          </cell>
          <cell r="V10" t="str">
            <v>9e</v>
          </cell>
          <cell r="W10">
            <v>0.1</v>
          </cell>
          <cell r="X10" t="str">
            <v>9e</v>
          </cell>
          <cell r="Y10" t="str">
            <v>NC</v>
          </cell>
          <cell r="AA10" t="str">
            <v>NC</v>
          </cell>
          <cell r="AC10">
            <v>1</v>
          </cell>
          <cell r="AD10">
            <v>9</v>
          </cell>
          <cell r="AE10">
            <v>1</v>
          </cell>
          <cell r="AF10">
            <v>9</v>
          </cell>
          <cell r="AI10">
            <v>50</v>
          </cell>
          <cell r="AK10">
            <v>0.91</v>
          </cell>
          <cell r="AL10" t="str">
            <v>NC</v>
          </cell>
          <cell r="AM10">
            <v>50</v>
          </cell>
          <cell r="AO10">
            <v>0</v>
          </cell>
          <cell r="AU10">
            <v>0</v>
          </cell>
          <cell r="AW10">
            <v>0</v>
          </cell>
          <cell r="AX10">
            <v>0</v>
          </cell>
          <cell r="AY10">
            <v>2</v>
          </cell>
          <cell r="AZ10">
            <v>0</v>
          </cell>
          <cell r="BD10">
            <v>0</v>
          </cell>
          <cell r="BE10">
            <v>137</v>
          </cell>
          <cell r="BF10">
            <v>11</v>
          </cell>
          <cell r="BH10">
            <v>0.23</v>
          </cell>
          <cell r="BO10">
            <v>1E-3</v>
          </cell>
          <cell r="BS10">
            <v>1000</v>
          </cell>
          <cell r="BT10" t="str">
            <v>Ceiling (High)</v>
          </cell>
          <cell r="BV10">
            <v>3000</v>
          </cell>
          <cell r="BW10" t="str">
            <v>Ceiling (High)</v>
          </cell>
          <cell r="BY10">
            <v>5000</v>
          </cell>
          <cell r="BZ10" t="str">
            <v>Ceiling (High)</v>
          </cell>
          <cell r="CA10">
            <v>50000</v>
          </cell>
          <cell r="CB10" t="str">
            <v>0.005%</v>
          </cell>
          <cell r="CC10" t="str">
            <v>Y</v>
          </cell>
        </row>
        <row r="11">
          <cell r="A11" t="str">
            <v>BENZENE</v>
          </cell>
          <cell r="B11" t="str">
            <v>71-43-2</v>
          </cell>
          <cell r="C11">
            <v>42922</v>
          </cell>
          <cell r="D11">
            <v>4.0000000000000001E-3</v>
          </cell>
          <cell r="E11">
            <v>1</v>
          </cell>
          <cell r="F11">
            <v>0.01</v>
          </cell>
          <cell r="G11" t="str">
            <v>1i</v>
          </cell>
          <cell r="H11">
            <v>3.0000000000000001E-3</v>
          </cell>
          <cell r="I11" t="str">
            <v>3a</v>
          </cell>
          <cell r="J11">
            <v>3.0000000000000001E-3</v>
          </cell>
          <cell r="K11" t="str">
            <v>7c</v>
          </cell>
          <cell r="L11">
            <v>5.5E-2</v>
          </cell>
          <cell r="M11" t="str">
            <v>A</v>
          </cell>
          <cell r="N11">
            <v>1</v>
          </cell>
          <cell r="O11">
            <v>7.7999999999999999E-6</v>
          </cell>
          <cell r="P11">
            <v>1</v>
          </cell>
          <cell r="Q11">
            <v>1</v>
          </cell>
          <cell r="R11" t="str">
            <v>9e</v>
          </cell>
          <cell r="S11">
            <v>0.03</v>
          </cell>
          <cell r="T11" t="str">
            <v>9e</v>
          </cell>
          <cell r="U11">
            <v>1</v>
          </cell>
          <cell r="V11" t="str">
            <v>9e</v>
          </cell>
          <cell r="W11">
            <v>0.03</v>
          </cell>
          <cell r="X11" t="str">
            <v>9e</v>
          </cell>
          <cell r="Y11">
            <v>1</v>
          </cell>
          <cell r="Z11" t="str">
            <v>9e</v>
          </cell>
          <cell r="AA11">
            <v>0.03</v>
          </cell>
          <cell r="AB11" t="str">
            <v>9e</v>
          </cell>
          <cell r="AC11">
            <v>1</v>
          </cell>
          <cell r="AD11">
            <v>9</v>
          </cell>
          <cell r="AE11">
            <v>1</v>
          </cell>
          <cell r="AF11">
            <v>9</v>
          </cell>
          <cell r="AG11">
            <v>1</v>
          </cell>
          <cell r="AH11">
            <v>9</v>
          </cell>
          <cell r="AK11">
            <v>1</v>
          </cell>
          <cell r="AL11">
            <v>1</v>
          </cell>
          <cell r="AO11">
            <v>11</v>
          </cell>
          <cell r="AP11">
            <v>20</v>
          </cell>
          <cell r="AQ11">
            <v>6.5830000000000002</v>
          </cell>
          <cell r="AR11">
            <v>2000</v>
          </cell>
          <cell r="AS11">
            <v>13</v>
          </cell>
          <cell r="AT11">
            <v>4890</v>
          </cell>
          <cell r="AU11">
            <v>1.5329072978303746</v>
          </cell>
          <cell r="AV11">
            <v>13</v>
          </cell>
          <cell r="AW11">
            <v>61.973741096059626</v>
          </cell>
          <cell r="AX11">
            <v>0.1</v>
          </cell>
          <cell r="AY11">
            <v>0.5</v>
          </cell>
          <cell r="AZ11">
            <v>1790000</v>
          </cell>
          <cell r="BA11">
            <v>22</v>
          </cell>
          <cell r="BB11">
            <v>5.5500000000000002E-3</v>
          </cell>
          <cell r="BC11">
            <v>22</v>
          </cell>
          <cell r="BD11">
            <v>0.22712391553445738</v>
          </cell>
          <cell r="BE11">
            <v>78</v>
          </cell>
          <cell r="BF11">
            <v>13</v>
          </cell>
          <cell r="BG11">
            <v>95</v>
          </cell>
          <cell r="BH11">
            <v>2.13</v>
          </cell>
          <cell r="BI11">
            <v>16</v>
          </cell>
          <cell r="BJ11">
            <v>61.7</v>
          </cell>
          <cell r="BK11" t="str">
            <v>17a</v>
          </cell>
          <cell r="BL11">
            <v>5.5</v>
          </cell>
          <cell r="BM11">
            <v>17</v>
          </cell>
          <cell r="BO11">
            <v>1.4757065332758943E-2</v>
          </cell>
          <cell r="BS11">
            <v>500</v>
          </cell>
          <cell r="BT11" t="str">
            <v>Ceiling (Medium)</v>
          </cell>
          <cell r="BV11">
            <v>1000</v>
          </cell>
          <cell r="BW11" t="str">
            <v>Ceiling (Medium)</v>
          </cell>
          <cell r="BY11">
            <v>3000</v>
          </cell>
          <cell r="BZ11" t="str">
            <v>Ceiling (Medium)</v>
          </cell>
          <cell r="CA11">
            <v>50000</v>
          </cell>
          <cell r="CB11" t="str">
            <v>0.005%</v>
          </cell>
        </row>
        <row r="12">
          <cell r="A12" t="str">
            <v>BENZO(a)ANTHRACENE</v>
          </cell>
          <cell r="B12" t="str">
            <v>56-55-3</v>
          </cell>
          <cell r="C12">
            <v>42922</v>
          </cell>
          <cell r="D12">
            <v>0.03</v>
          </cell>
          <cell r="E12" t="str">
            <v>5d</v>
          </cell>
          <cell r="F12">
            <v>0.3</v>
          </cell>
          <cell r="G12" t="str">
            <v>5d</v>
          </cell>
          <cell r="H12">
            <v>0.05</v>
          </cell>
          <cell r="I12" t="str">
            <v>5d</v>
          </cell>
          <cell r="J12">
            <v>0.5</v>
          </cell>
          <cell r="K12" t="str">
            <v>5d</v>
          </cell>
          <cell r="L12">
            <v>0.1</v>
          </cell>
          <cell r="M12" t="str">
            <v>B2</v>
          </cell>
          <cell r="N12" t="str">
            <v>1e</v>
          </cell>
          <cell r="O12">
            <v>6.0000000000000002E-5</v>
          </cell>
          <cell r="P12" t="str">
            <v>1e</v>
          </cell>
          <cell r="Q12">
            <v>0.3</v>
          </cell>
          <cell r="R12" t="str">
            <v>9d</v>
          </cell>
          <cell r="S12">
            <v>0.02</v>
          </cell>
          <cell r="T12" t="str">
            <v>9d</v>
          </cell>
          <cell r="U12">
            <v>0.3</v>
          </cell>
          <cell r="V12" t="str">
            <v>9d</v>
          </cell>
          <cell r="W12">
            <v>0.02</v>
          </cell>
          <cell r="X12" t="str">
            <v>9d</v>
          </cell>
          <cell r="Y12">
            <v>0.3</v>
          </cell>
          <cell r="Z12" t="str">
            <v>9d</v>
          </cell>
          <cell r="AA12">
            <v>0.02</v>
          </cell>
          <cell r="AB12" t="str">
            <v>9d</v>
          </cell>
          <cell r="AC12">
            <v>1</v>
          </cell>
          <cell r="AD12">
            <v>9</v>
          </cell>
          <cell r="AE12">
            <v>1</v>
          </cell>
          <cell r="AF12">
            <v>9</v>
          </cell>
          <cell r="AG12">
            <v>1</v>
          </cell>
          <cell r="AH12">
            <v>9</v>
          </cell>
          <cell r="AI12">
            <v>9</v>
          </cell>
          <cell r="AJ12" t="str">
            <v>M</v>
          </cell>
          <cell r="AK12">
            <v>0.92</v>
          </cell>
          <cell r="AL12">
            <v>0.92</v>
          </cell>
          <cell r="AM12">
            <v>2</v>
          </cell>
          <cell r="AO12">
            <v>0</v>
          </cell>
          <cell r="AU12">
            <v>0</v>
          </cell>
          <cell r="AW12">
            <v>0</v>
          </cell>
          <cell r="AX12">
            <v>0.66</v>
          </cell>
          <cell r="AY12">
            <v>1</v>
          </cell>
          <cell r="AZ12">
            <v>9.4</v>
          </cell>
          <cell r="BA12">
            <v>22</v>
          </cell>
          <cell r="BB12">
            <v>1.2E-5</v>
          </cell>
          <cell r="BC12">
            <v>22</v>
          </cell>
          <cell r="BD12">
            <v>4.9107873629071865E-4</v>
          </cell>
          <cell r="BE12">
            <v>228</v>
          </cell>
          <cell r="BF12">
            <v>13</v>
          </cell>
          <cell r="BG12">
            <v>5.0000000000000001E-9</v>
          </cell>
          <cell r="BH12">
            <v>5.76</v>
          </cell>
          <cell r="BI12">
            <v>16</v>
          </cell>
          <cell r="BJ12">
            <v>358000</v>
          </cell>
          <cell r="BK12" t="str">
            <v>17a</v>
          </cell>
          <cell r="BL12">
            <v>84</v>
          </cell>
          <cell r="BM12">
            <v>17</v>
          </cell>
          <cell r="BO12">
            <v>0.53064001919477521</v>
          </cell>
          <cell r="BS12">
            <v>1000</v>
          </cell>
          <cell r="BT12" t="str">
            <v>Ceiling (High)</v>
          </cell>
          <cell r="BV12">
            <v>3000</v>
          </cell>
          <cell r="BW12" t="str">
            <v>Ceiling (High)</v>
          </cell>
          <cell r="BY12">
            <v>5000</v>
          </cell>
          <cell r="BZ12" t="str">
            <v>Ceiling (High)</v>
          </cell>
          <cell r="CA12">
            <v>50000</v>
          </cell>
          <cell r="CB12" t="str">
            <v>0.005%</v>
          </cell>
        </row>
        <row r="13">
          <cell r="A13" t="str">
            <v>BENZO(a)PYRENE</v>
          </cell>
          <cell r="B13" t="str">
            <v>50-32-8</v>
          </cell>
          <cell r="C13">
            <v>42914</v>
          </cell>
          <cell r="D13">
            <v>2.9999999999999997E-4</v>
          </cell>
          <cell r="E13">
            <v>1</v>
          </cell>
          <cell r="F13">
            <v>2.9999999999999997E-4</v>
          </cell>
          <cell r="H13">
            <v>1.9999999999999999E-6</v>
          </cell>
          <cell r="I13">
            <v>1</v>
          </cell>
          <cell r="J13">
            <v>1.9999999999999999E-6</v>
          </cell>
          <cell r="L13">
            <v>1</v>
          </cell>
          <cell r="M13" t="str">
            <v>B2</v>
          </cell>
          <cell r="N13">
            <v>1</v>
          </cell>
          <cell r="O13">
            <v>5.9999999999999995E-4</v>
          </cell>
          <cell r="P13">
            <v>1</v>
          </cell>
          <cell r="Q13">
            <v>0.3</v>
          </cell>
          <cell r="R13" t="str">
            <v>9d</v>
          </cell>
          <cell r="S13">
            <v>0.02</v>
          </cell>
          <cell r="T13" t="str">
            <v>9d</v>
          </cell>
          <cell r="U13">
            <v>0.3</v>
          </cell>
          <cell r="V13" t="str">
            <v>9d</v>
          </cell>
          <cell r="W13">
            <v>0.02</v>
          </cell>
          <cell r="X13" t="str">
            <v>9d</v>
          </cell>
          <cell r="Y13">
            <v>0.3</v>
          </cell>
          <cell r="Z13" t="str">
            <v>9d</v>
          </cell>
          <cell r="AA13">
            <v>0.02</v>
          </cell>
          <cell r="AB13" t="str">
            <v>9d</v>
          </cell>
          <cell r="AC13">
            <v>1</v>
          </cell>
          <cell r="AD13">
            <v>9</v>
          </cell>
          <cell r="AE13">
            <v>1</v>
          </cell>
          <cell r="AF13">
            <v>9</v>
          </cell>
          <cell r="AG13">
            <v>1</v>
          </cell>
          <cell r="AH13">
            <v>9</v>
          </cell>
          <cell r="AI13">
            <v>7</v>
          </cell>
          <cell r="AJ13" t="str">
            <v>M</v>
          </cell>
          <cell r="AK13">
            <v>0.92</v>
          </cell>
          <cell r="AL13">
            <v>0.92</v>
          </cell>
          <cell r="AM13">
            <v>2</v>
          </cell>
          <cell r="AO13">
            <v>0</v>
          </cell>
          <cell r="AU13">
            <v>0</v>
          </cell>
          <cell r="AW13">
            <v>0</v>
          </cell>
          <cell r="AX13">
            <v>0.66</v>
          </cell>
          <cell r="AY13">
            <v>0.5</v>
          </cell>
          <cell r="AZ13">
            <v>1.62</v>
          </cell>
          <cell r="BA13">
            <v>22</v>
          </cell>
          <cell r="BB13">
            <v>4.5699999999999998E-7</v>
          </cell>
          <cell r="BC13">
            <v>22</v>
          </cell>
          <cell r="BD13">
            <v>1.8701915207071535E-5</v>
          </cell>
          <cell r="BE13">
            <v>252</v>
          </cell>
          <cell r="BF13">
            <v>13</v>
          </cell>
          <cell r="BG13">
            <v>5.0000000000000001E-9</v>
          </cell>
          <cell r="BH13">
            <v>6.13</v>
          </cell>
          <cell r="BI13">
            <v>16</v>
          </cell>
          <cell r="BJ13">
            <v>969000</v>
          </cell>
          <cell r="BK13" t="str">
            <v>17a</v>
          </cell>
          <cell r="BL13">
            <v>176.5</v>
          </cell>
          <cell r="BM13">
            <v>17</v>
          </cell>
          <cell r="BO13">
            <v>0.68328203136919874</v>
          </cell>
          <cell r="BS13">
            <v>1000</v>
          </cell>
          <cell r="BT13" t="str">
            <v>Ceiling (High)</v>
          </cell>
          <cell r="BV13">
            <v>3000</v>
          </cell>
          <cell r="BW13" t="str">
            <v>Ceiling (High)</v>
          </cell>
          <cell r="BY13">
            <v>5000</v>
          </cell>
          <cell r="BZ13" t="str">
            <v>Ceiling (High)</v>
          </cell>
          <cell r="CA13">
            <v>50000</v>
          </cell>
          <cell r="CB13" t="str">
            <v>0.005%</v>
          </cell>
        </row>
        <row r="14">
          <cell r="A14" t="str">
            <v>BENZO(b)FLUORANTHENE</v>
          </cell>
          <cell r="B14" t="str">
            <v>205-99-2</v>
          </cell>
          <cell r="C14">
            <v>42922</v>
          </cell>
          <cell r="D14">
            <v>0.03</v>
          </cell>
          <cell r="E14" t="str">
            <v>5d</v>
          </cell>
          <cell r="F14">
            <v>0.3</v>
          </cell>
          <cell r="G14" t="str">
            <v>5d</v>
          </cell>
          <cell r="H14">
            <v>0.05</v>
          </cell>
          <cell r="I14" t="str">
            <v>5d</v>
          </cell>
          <cell r="J14">
            <v>0.5</v>
          </cell>
          <cell r="K14" t="str">
            <v>5d</v>
          </cell>
          <cell r="L14">
            <v>0.1</v>
          </cell>
          <cell r="M14" t="str">
            <v>B2</v>
          </cell>
          <cell r="N14" t="str">
            <v>1e</v>
          </cell>
          <cell r="O14">
            <v>6.0000000000000002E-5</v>
          </cell>
          <cell r="P14" t="str">
            <v>1e</v>
          </cell>
          <cell r="Q14">
            <v>0.3</v>
          </cell>
          <cell r="R14" t="str">
            <v>9d</v>
          </cell>
          <cell r="S14">
            <v>0.02</v>
          </cell>
          <cell r="T14" t="str">
            <v>9d</v>
          </cell>
          <cell r="U14">
            <v>0.3</v>
          </cell>
          <cell r="V14" t="str">
            <v>9d</v>
          </cell>
          <cell r="W14">
            <v>0.02</v>
          </cell>
          <cell r="X14" t="str">
            <v>9d</v>
          </cell>
          <cell r="Y14">
            <v>0.3</v>
          </cell>
          <cell r="Z14" t="str">
            <v>9d</v>
          </cell>
          <cell r="AA14">
            <v>0.02</v>
          </cell>
          <cell r="AB14" t="str">
            <v>9d</v>
          </cell>
          <cell r="AC14">
            <v>1</v>
          </cell>
          <cell r="AD14">
            <v>9</v>
          </cell>
          <cell r="AE14">
            <v>1</v>
          </cell>
          <cell r="AF14">
            <v>9</v>
          </cell>
          <cell r="AG14">
            <v>1</v>
          </cell>
          <cell r="AH14">
            <v>9</v>
          </cell>
          <cell r="AI14">
            <v>8</v>
          </cell>
          <cell r="AJ14" t="str">
            <v>M</v>
          </cell>
          <cell r="AK14">
            <v>0.92</v>
          </cell>
          <cell r="AL14">
            <v>0.92</v>
          </cell>
          <cell r="AM14">
            <v>2</v>
          </cell>
          <cell r="AO14">
            <v>0</v>
          </cell>
          <cell r="AU14">
            <v>0</v>
          </cell>
          <cell r="AW14">
            <v>0</v>
          </cell>
          <cell r="AX14">
            <v>0.66</v>
          </cell>
          <cell r="AY14">
            <v>1</v>
          </cell>
          <cell r="AZ14">
            <v>1.5</v>
          </cell>
          <cell r="BA14">
            <v>22</v>
          </cell>
          <cell r="BB14">
            <v>6.5700000000000002E-7</v>
          </cell>
          <cell r="BC14">
            <v>22</v>
          </cell>
          <cell r="BD14">
            <v>2.6886560811916847E-5</v>
          </cell>
          <cell r="BE14">
            <v>252</v>
          </cell>
          <cell r="BF14">
            <v>13</v>
          </cell>
          <cell r="BH14">
            <v>5.78</v>
          </cell>
          <cell r="BI14">
            <v>16</v>
          </cell>
          <cell r="BJ14">
            <v>1230000</v>
          </cell>
          <cell r="BK14" t="str">
            <v>17b</v>
          </cell>
          <cell r="BL14">
            <v>168</v>
          </cell>
          <cell r="BM14">
            <v>17</v>
          </cell>
          <cell r="BO14">
            <v>0.40142091820432163</v>
          </cell>
          <cell r="BS14">
            <v>1000</v>
          </cell>
          <cell r="BT14" t="str">
            <v>Ceiling (High)</v>
          </cell>
          <cell r="BV14">
            <v>3000</v>
          </cell>
          <cell r="BW14" t="str">
            <v>Ceiling (High)</v>
          </cell>
          <cell r="BY14">
            <v>5000</v>
          </cell>
          <cell r="BZ14" t="str">
            <v>Ceiling (High)</v>
          </cell>
          <cell r="CA14">
            <v>50000</v>
          </cell>
          <cell r="CB14" t="str">
            <v>0.005%</v>
          </cell>
        </row>
        <row r="15">
          <cell r="A15" t="str">
            <v>BENZO(g,h,i)PERYLENE</v>
          </cell>
          <cell r="B15" t="str">
            <v>191-24-2</v>
          </cell>
          <cell r="C15">
            <v>42922</v>
          </cell>
          <cell r="D15">
            <v>0.03</v>
          </cell>
          <cell r="E15" t="str">
            <v>5d</v>
          </cell>
          <cell r="F15">
            <v>0.3</v>
          </cell>
          <cell r="G15" t="str">
            <v>5d</v>
          </cell>
          <cell r="H15">
            <v>0.05</v>
          </cell>
          <cell r="I15" t="str">
            <v>5d</v>
          </cell>
          <cell r="J15">
            <v>0.5</v>
          </cell>
          <cell r="K15" t="str">
            <v>5d</v>
          </cell>
          <cell r="Q15">
            <v>0.3</v>
          </cell>
          <cell r="R15" t="str">
            <v>9d</v>
          </cell>
          <cell r="S15">
            <v>0.1</v>
          </cell>
          <cell r="T15" t="str">
            <v>9d</v>
          </cell>
          <cell r="U15">
            <v>0.3</v>
          </cell>
          <cell r="V15" t="str">
            <v>9d</v>
          </cell>
          <cell r="W15">
            <v>0.1</v>
          </cell>
          <cell r="X15" t="str">
            <v>9d</v>
          </cell>
          <cell r="Y15" t="str">
            <v>NC</v>
          </cell>
          <cell r="AA15" t="str">
            <v>NC</v>
          </cell>
          <cell r="AC15">
            <v>1</v>
          </cell>
          <cell r="AD15">
            <v>9</v>
          </cell>
          <cell r="AE15">
            <v>1</v>
          </cell>
          <cell r="AF15">
            <v>9</v>
          </cell>
          <cell r="AI15">
            <v>3</v>
          </cell>
          <cell r="AK15">
            <v>0.92</v>
          </cell>
          <cell r="AL15" t="str">
            <v>NC</v>
          </cell>
          <cell r="AM15">
            <v>1</v>
          </cell>
          <cell r="AO15">
            <v>0</v>
          </cell>
          <cell r="AU15">
            <v>0</v>
          </cell>
          <cell r="AW15">
            <v>0</v>
          </cell>
          <cell r="AX15">
            <v>0.66</v>
          </cell>
          <cell r="AY15">
            <v>0.5</v>
          </cell>
          <cell r="AZ15">
            <v>0.26</v>
          </cell>
          <cell r="BA15">
            <v>22</v>
          </cell>
          <cell r="BB15">
            <v>3.3099999999999999E-7</v>
          </cell>
          <cell r="BC15">
            <v>22</v>
          </cell>
          <cell r="BD15">
            <v>1.3545588476018988E-5</v>
          </cell>
          <cell r="BE15">
            <v>276</v>
          </cell>
          <cell r="BF15">
            <v>13</v>
          </cell>
          <cell r="BG15">
            <v>1E-10</v>
          </cell>
          <cell r="BH15">
            <v>6.63</v>
          </cell>
          <cell r="BI15">
            <v>13</v>
          </cell>
          <cell r="BJ15">
            <v>1600000</v>
          </cell>
          <cell r="BK15">
            <v>13</v>
          </cell>
          <cell r="BO15">
            <v>1.0720128717525927</v>
          </cell>
          <cell r="BS15">
            <v>1000</v>
          </cell>
          <cell r="BT15" t="str">
            <v>Ceiling (High)</v>
          </cell>
          <cell r="BV15">
            <v>3000</v>
          </cell>
          <cell r="BW15" t="str">
            <v>Ceiling (High)</v>
          </cell>
          <cell r="BY15">
            <v>5000</v>
          </cell>
          <cell r="BZ15" t="str">
            <v>Ceiling (High)</v>
          </cell>
          <cell r="CA15">
            <v>50000</v>
          </cell>
          <cell r="CB15" t="str">
            <v>0.005%</v>
          </cell>
        </row>
        <row r="16">
          <cell r="A16" t="str">
            <v>BENZO(k)FLUORANTHENE</v>
          </cell>
          <cell r="B16" t="str">
            <v>207-08-9</v>
          </cell>
          <cell r="C16">
            <v>42922</v>
          </cell>
          <cell r="D16">
            <v>0.03</v>
          </cell>
          <cell r="E16" t="str">
            <v>5d</v>
          </cell>
          <cell r="F16">
            <v>0.3</v>
          </cell>
          <cell r="G16" t="str">
            <v>5d</v>
          </cell>
          <cell r="H16">
            <v>0.05</v>
          </cell>
          <cell r="I16" t="str">
            <v>5d</v>
          </cell>
          <cell r="J16">
            <v>0.5</v>
          </cell>
          <cell r="K16" t="str">
            <v>5d</v>
          </cell>
          <cell r="L16">
            <v>0.01</v>
          </cell>
          <cell r="M16" t="str">
            <v>B2</v>
          </cell>
          <cell r="N16" t="str">
            <v>1e</v>
          </cell>
          <cell r="O16">
            <v>6.0000000000000002E-6</v>
          </cell>
          <cell r="P16" t="str">
            <v>1e</v>
          </cell>
          <cell r="Q16">
            <v>0.3</v>
          </cell>
          <cell r="R16" t="str">
            <v>9d</v>
          </cell>
          <cell r="S16">
            <v>0.02</v>
          </cell>
          <cell r="T16" t="str">
            <v>9d</v>
          </cell>
          <cell r="U16">
            <v>0.3</v>
          </cell>
          <cell r="V16" t="str">
            <v>9e</v>
          </cell>
          <cell r="W16">
            <v>0.02</v>
          </cell>
          <cell r="X16" t="str">
            <v>9d</v>
          </cell>
          <cell r="Y16">
            <v>0.3</v>
          </cell>
          <cell r="Z16" t="str">
            <v>9d</v>
          </cell>
          <cell r="AA16">
            <v>0.02</v>
          </cell>
          <cell r="AB16" t="str">
            <v>9d</v>
          </cell>
          <cell r="AC16">
            <v>1</v>
          </cell>
          <cell r="AD16">
            <v>9</v>
          </cell>
          <cell r="AE16">
            <v>1</v>
          </cell>
          <cell r="AF16">
            <v>9</v>
          </cell>
          <cell r="AG16">
            <v>1</v>
          </cell>
          <cell r="AH16">
            <v>9</v>
          </cell>
          <cell r="AI16">
            <v>4</v>
          </cell>
          <cell r="AJ16" t="str">
            <v>M</v>
          </cell>
          <cell r="AK16">
            <v>0.92</v>
          </cell>
          <cell r="AL16">
            <v>0.92</v>
          </cell>
          <cell r="AM16">
            <v>1</v>
          </cell>
          <cell r="AO16">
            <v>0</v>
          </cell>
          <cell r="AU16">
            <v>0</v>
          </cell>
          <cell r="AW16">
            <v>0</v>
          </cell>
          <cell r="AX16">
            <v>0.66</v>
          </cell>
          <cell r="AY16">
            <v>1</v>
          </cell>
          <cell r="AZ16">
            <v>0.8</v>
          </cell>
          <cell r="BA16">
            <v>22</v>
          </cell>
          <cell r="BB16">
            <v>5.8400000000000004E-7</v>
          </cell>
          <cell r="BC16">
            <v>22</v>
          </cell>
          <cell r="BD16">
            <v>2.3899165166148309E-5</v>
          </cell>
          <cell r="BE16">
            <v>252</v>
          </cell>
          <cell r="BF16">
            <v>13</v>
          </cell>
          <cell r="BG16">
            <v>9.59E-11</v>
          </cell>
          <cell r="BH16">
            <v>6.11</v>
          </cell>
          <cell r="BI16">
            <v>13</v>
          </cell>
          <cell r="BJ16">
            <v>1230000</v>
          </cell>
          <cell r="BK16" t="str">
            <v>17b</v>
          </cell>
          <cell r="BL16">
            <v>217</v>
          </cell>
          <cell r="BM16">
            <v>17</v>
          </cell>
          <cell r="BO16">
            <v>0.66282670860827375</v>
          </cell>
          <cell r="BS16">
            <v>1000</v>
          </cell>
          <cell r="BT16" t="str">
            <v>Ceiling (High)</v>
          </cell>
          <cell r="BV16">
            <v>3000</v>
          </cell>
          <cell r="BW16" t="str">
            <v>Ceiling (High)</v>
          </cell>
          <cell r="BY16">
            <v>5000</v>
          </cell>
          <cell r="BZ16" t="str">
            <v>Ceiling (High)</v>
          </cell>
          <cell r="CA16">
            <v>50000</v>
          </cell>
          <cell r="CB16" t="str">
            <v>0.005%</v>
          </cell>
        </row>
        <row r="17">
          <cell r="A17" t="str">
            <v>BERYLLIUM</v>
          </cell>
          <cell r="B17" t="str">
            <v>7440-41-7</v>
          </cell>
          <cell r="C17">
            <v>42923</v>
          </cell>
          <cell r="D17">
            <v>2E-3</v>
          </cell>
          <cell r="E17">
            <v>1</v>
          </cell>
          <cell r="F17">
            <v>5.0000000000000001E-3</v>
          </cell>
          <cell r="G17">
            <v>2</v>
          </cell>
          <cell r="H17">
            <v>2.0000000000000002E-5</v>
          </cell>
          <cell r="I17">
            <v>1</v>
          </cell>
          <cell r="J17">
            <v>2.0000000000000002E-5</v>
          </cell>
          <cell r="K17" t="str">
            <v>1j</v>
          </cell>
          <cell r="O17">
            <v>2.3999999999999998E-3</v>
          </cell>
          <cell r="P17">
            <v>1</v>
          </cell>
          <cell r="Q17">
            <v>1</v>
          </cell>
          <cell r="R17" t="str">
            <v>9e</v>
          </cell>
          <cell r="S17">
            <v>0.1</v>
          </cell>
          <cell r="T17" t="str">
            <v>9e</v>
          </cell>
          <cell r="U17">
            <v>1</v>
          </cell>
          <cell r="V17" t="str">
            <v>9e</v>
          </cell>
          <cell r="W17">
            <v>0.1</v>
          </cell>
          <cell r="X17" t="str">
            <v>9e</v>
          </cell>
          <cell r="Y17" t="str">
            <v>NC</v>
          </cell>
          <cell r="AC17">
            <v>1</v>
          </cell>
          <cell r="AD17">
            <v>9</v>
          </cell>
          <cell r="AE17">
            <v>1</v>
          </cell>
          <cell r="AF17">
            <v>9</v>
          </cell>
          <cell r="AG17">
            <v>1</v>
          </cell>
          <cell r="AH17">
            <v>9</v>
          </cell>
          <cell r="AI17">
            <v>0.9</v>
          </cell>
          <cell r="AK17">
            <v>0.01</v>
          </cell>
          <cell r="AL17">
            <v>0.01</v>
          </cell>
          <cell r="AM17">
            <v>0.4</v>
          </cell>
          <cell r="AO17">
            <v>0</v>
          </cell>
          <cell r="AU17">
            <v>0</v>
          </cell>
          <cell r="AW17">
            <v>0</v>
          </cell>
          <cell r="AX17">
            <v>0.06</v>
          </cell>
          <cell r="AY17">
            <v>0.3</v>
          </cell>
          <cell r="AZ17">
            <v>0</v>
          </cell>
          <cell r="BD17">
            <v>0</v>
          </cell>
          <cell r="BE17">
            <v>9</v>
          </cell>
          <cell r="BF17">
            <v>13</v>
          </cell>
          <cell r="BH17">
            <v>-0.56999999999999995</v>
          </cell>
          <cell r="BJ17">
            <v>0</v>
          </cell>
          <cell r="BO17">
            <v>1E-3</v>
          </cell>
          <cell r="BS17">
            <v>1000</v>
          </cell>
          <cell r="BT17" t="str">
            <v>Ceiling (High)</v>
          </cell>
          <cell r="BV17">
            <v>3000</v>
          </cell>
          <cell r="BW17" t="str">
            <v>Ceiling (High)</v>
          </cell>
          <cell r="BY17">
            <v>5000</v>
          </cell>
          <cell r="BZ17" t="str">
            <v>Ceiling (High)</v>
          </cell>
          <cell r="CA17">
            <v>50000</v>
          </cell>
          <cell r="CB17" t="str">
            <v>0.005%</v>
          </cell>
          <cell r="CC17" t="str">
            <v>Y</v>
          </cell>
        </row>
        <row r="18">
          <cell r="A18" t="str">
            <v>BIPHENYL, 1,1-</v>
          </cell>
          <cell r="B18" t="str">
            <v xml:space="preserve">92-52-4 </v>
          </cell>
          <cell r="C18">
            <v>42922</v>
          </cell>
          <cell r="D18">
            <v>0.05</v>
          </cell>
          <cell r="E18">
            <v>1</v>
          </cell>
          <cell r="F18">
            <v>0.1</v>
          </cell>
          <cell r="G18">
            <v>6</v>
          </cell>
          <cell r="H18">
            <v>2E-3</v>
          </cell>
          <cell r="I18">
            <v>3</v>
          </cell>
          <cell r="J18">
            <v>2E-3</v>
          </cell>
          <cell r="K18" t="str">
            <v>7c</v>
          </cell>
          <cell r="L18">
            <v>8.0000000000000002E-3</v>
          </cell>
          <cell r="M18" t="str">
            <v>D</v>
          </cell>
          <cell r="N18">
            <v>1</v>
          </cell>
          <cell r="Q18">
            <v>1</v>
          </cell>
          <cell r="R18" t="str">
            <v>9e</v>
          </cell>
          <cell r="S18">
            <v>0.1</v>
          </cell>
          <cell r="T18" t="str">
            <v>9e</v>
          </cell>
          <cell r="U18">
            <v>1</v>
          </cell>
          <cell r="V18" t="str">
            <v>9e</v>
          </cell>
          <cell r="W18">
            <v>0.1</v>
          </cell>
          <cell r="X18" t="str">
            <v>9e</v>
          </cell>
          <cell r="Y18">
            <v>1</v>
          </cell>
          <cell r="Z18" t="str">
            <v>9e</v>
          </cell>
          <cell r="AA18">
            <v>0.1</v>
          </cell>
          <cell r="AB18" t="str">
            <v>9e</v>
          </cell>
          <cell r="AC18">
            <v>1</v>
          </cell>
          <cell r="AD18">
            <v>9</v>
          </cell>
          <cell r="AE18">
            <v>1</v>
          </cell>
          <cell r="AF18">
            <v>9</v>
          </cell>
          <cell r="AG18">
            <v>1</v>
          </cell>
          <cell r="AH18">
            <v>9</v>
          </cell>
          <cell r="AK18">
            <v>1</v>
          </cell>
          <cell r="AL18">
            <v>0.9</v>
          </cell>
          <cell r="AO18">
            <v>0</v>
          </cell>
          <cell r="AT18">
            <v>60</v>
          </cell>
          <cell r="AU18">
            <v>9.5264735264735251E-3</v>
          </cell>
          <cell r="AV18">
            <v>27</v>
          </cell>
          <cell r="AW18">
            <v>0</v>
          </cell>
          <cell r="AX18">
            <v>0.05</v>
          </cell>
          <cell r="AY18">
            <v>0.1</v>
          </cell>
          <cell r="AZ18">
            <v>6940</v>
          </cell>
          <cell r="BA18">
            <v>22</v>
          </cell>
          <cell r="BB18">
            <v>3.0800000000000001E-4</v>
          </cell>
          <cell r="BC18">
            <v>22</v>
          </cell>
          <cell r="BD18">
            <v>1.2604354231461778E-2</v>
          </cell>
          <cell r="BE18">
            <v>154</v>
          </cell>
          <cell r="BF18">
            <v>11</v>
          </cell>
          <cell r="BH18">
            <v>3.98</v>
          </cell>
          <cell r="BI18">
            <v>20</v>
          </cell>
          <cell r="BJ18">
            <v>2820</v>
          </cell>
          <cell r="BK18">
            <v>21</v>
          </cell>
          <cell r="BO18">
            <v>9.2129772766855619E-2</v>
          </cell>
          <cell r="BS18">
            <v>1000</v>
          </cell>
          <cell r="BT18" t="str">
            <v>Ceiling (High)</v>
          </cell>
          <cell r="BV18">
            <v>3000</v>
          </cell>
          <cell r="BW18" t="str">
            <v>Ceiling (High)</v>
          </cell>
          <cell r="BY18">
            <v>5000</v>
          </cell>
          <cell r="BZ18" t="str">
            <v>Ceiling (High)</v>
          </cell>
          <cell r="CA18">
            <v>50000</v>
          </cell>
          <cell r="CB18" t="str">
            <v>0.005%</v>
          </cell>
        </row>
        <row r="19">
          <cell r="A19" t="str">
            <v>BIS(2-CHLOROETHYL)ETHER</v>
          </cell>
          <cell r="B19" t="str">
            <v>111-44-4</v>
          </cell>
          <cell r="C19">
            <v>42922</v>
          </cell>
          <cell r="L19">
            <v>1.1000000000000001</v>
          </cell>
          <cell r="M19" t="str">
            <v>B2</v>
          </cell>
          <cell r="N19">
            <v>1</v>
          </cell>
          <cell r="O19">
            <v>3.3E-4</v>
          </cell>
          <cell r="P19">
            <v>1</v>
          </cell>
          <cell r="Q19">
            <v>1</v>
          </cell>
          <cell r="R19" t="str">
            <v>9e</v>
          </cell>
          <cell r="S19">
            <v>0.03</v>
          </cell>
          <cell r="T19" t="str">
            <v>9e</v>
          </cell>
          <cell r="U19">
            <v>1</v>
          </cell>
          <cell r="V19" t="str">
            <v>9e</v>
          </cell>
          <cell r="W19">
            <v>0.03</v>
          </cell>
          <cell r="X19" t="str">
            <v>9e</v>
          </cell>
          <cell r="Y19">
            <v>1</v>
          </cell>
          <cell r="Z19" t="str">
            <v>9e</v>
          </cell>
          <cell r="AA19">
            <v>0.03</v>
          </cell>
          <cell r="AB19" t="str">
            <v>9e</v>
          </cell>
          <cell r="AG19">
            <v>1</v>
          </cell>
          <cell r="AH19">
            <v>9</v>
          </cell>
          <cell r="AK19">
            <v>0.98</v>
          </cell>
          <cell r="AL19">
            <v>0.98</v>
          </cell>
          <cell r="AO19">
            <v>0</v>
          </cell>
          <cell r="AT19">
            <v>287</v>
          </cell>
          <cell r="AU19">
            <v>4.9073552088936698E-2</v>
          </cell>
          <cell r="AV19">
            <v>13</v>
          </cell>
          <cell r="AW19">
            <v>14.468078420597246</v>
          </cell>
          <cell r="AX19">
            <v>0.66</v>
          </cell>
          <cell r="AY19">
            <v>28.5</v>
          </cell>
          <cell r="AZ19">
            <v>17200000</v>
          </cell>
          <cell r="BA19">
            <v>22</v>
          </cell>
          <cell r="BB19">
            <v>1.7E-5</v>
          </cell>
          <cell r="BC19">
            <v>22</v>
          </cell>
          <cell r="BD19">
            <v>6.9569487641185136E-4</v>
          </cell>
          <cell r="BE19">
            <v>143</v>
          </cell>
          <cell r="BF19">
            <v>13</v>
          </cell>
          <cell r="BG19">
            <v>0.71</v>
          </cell>
          <cell r="BH19">
            <v>1.29</v>
          </cell>
          <cell r="BI19">
            <v>16</v>
          </cell>
          <cell r="BJ19">
            <v>75.900000000000006</v>
          </cell>
          <cell r="BK19" t="str">
            <v>17a</v>
          </cell>
          <cell r="BL19">
            <v>-51.9</v>
          </cell>
          <cell r="BM19">
            <v>17</v>
          </cell>
          <cell r="BO19">
            <v>1.7807378917032942E-3</v>
          </cell>
          <cell r="BS19">
            <v>500</v>
          </cell>
          <cell r="BT19" t="str">
            <v>Ceiling (Medium)</v>
          </cell>
          <cell r="BV19">
            <v>1000</v>
          </cell>
          <cell r="BW19" t="str">
            <v>Ceiling (Medium)</v>
          </cell>
          <cell r="BY19">
            <v>3000</v>
          </cell>
          <cell r="BZ19" t="str">
            <v>Ceiling (Medium)</v>
          </cell>
          <cell r="CA19">
            <v>50000</v>
          </cell>
          <cell r="CB19" t="str">
            <v>0.005%</v>
          </cell>
        </row>
        <row r="20">
          <cell r="A20" t="str">
            <v>BIS(2-CHLOROISOPROPYL)ETHER</v>
          </cell>
          <cell r="B20" t="str">
            <v>108-60-1</v>
          </cell>
          <cell r="C20">
            <v>42922</v>
          </cell>
          <cell r="D20">
            <v>0.04</v>
          </cell>
          <cell r="E20">
            <v>1</v>
          </cell>
          <cell r="F20">
            <v>0.04</v>
          </cell>
          <cell r="G20" t="str">
            <v>1d</v>
          </cell>
          <cell r="H20">
            <v>0.14000000000000001</v>
          </cell>
          <cell r="I20" t="str">
            <v>7b</v>
          </cell>
          <cell r="J20">
            <v>0.14000000000000001</v>
          </cell>
          <cell r="K20" t="str">
            <v>7c</v>
          </cell>
          <cell r="L20">
            <v>7.0000000000000007E-2</v>
          </cell>
          <cell r="M20" t="str">
            <v>C</v>
          </cell>
          <cell r="N20" t="str">
            <v>2d</v>
          </cell>
          <cell r="O20">
            <v>1.0000000000000001E-5</v>
          </cell>
          <cell r="P20">
            <v>2</v>
          </cell>
          <cell r="Q20">
            <v>1</v>
          </cell>
          <cell r="R20" t="str">
            <v>9e</v>
          </cell>
          <cell r="S20">
            <v>0.03</v>
          </cell>
          <cell r="T20" t="str">
            <v>9e</v>
          </cell>
          <cell r="U20">
            <v>1</v>
          </cell>
          <cell r="V20">
            <v>9</v>
          </cell>
          <cell r="W20">
            <v>0.03</v>
          </cell>
          <cell r="X20" t="str">
            <v>9e</v>
          </cell>
          <cell r="Y20">
            <v>1</v>
          </cell>
          <cell r="Z20" t="str">
            <v>9e</v>
          </cell>
          <cell r="AA20">
            <v>0.03</v>
          </cell>
          <cell r="AB20" t="str">
            <v>9e</v>
          </cell>
          <cell r="AC20">
            <v>1</v>
          </cell>
          <cell r="AD20">
            <v>9</v>
          </cell>
          <cell r="AE20">
            <v>1</v>
          </cell>
          <cell r="AF20">
            <v>9</v>
          </cell>
          <cell r="AG20">
            <v>1</v>
          </cell>
          <cell r="AH20">
            <v>9</v>
          </cell>
          <cell r="AK20">
            <v>0.98</v>
          </cell>
          <cell r="AL20">
            <v>0.98</v>
          </cell>
          <cell r="AO20">
            <v>0</v>
          </cell>
          <cell r="AR20">
            <v>320</v>
          </cell>
          <cell r="AS20">
            <v>24</v>
          </cell>
          <cell r="AT20">
            <v>2240</v>
          </cell>
          <cell r="AU20">
            <v>0.32029749587644324</v>
          </cell>
          <cell r="AV20">
            <v>24</v>
          </cell>
          <cell r="AW20">
            <v>2.6537828454578141</v>
          </cell>
          <cell r="AX20">
            <v>0.66</v>
          </cell>
          <cell r="AY20">
            <v>28.5</v>
          </cell>
          <cell r="AZ20">
            <v>39930</v>
          </cell>
          <cell r="BA20">
            <v>23</v>
          </cell>
          <cell r="BB20">
            <v>3.3199999999999999E-4</v>
          </cell>
          <cell r="BC20">
            <v>23</v>
          </cell>
          <cell r="BD20">
            <v>1.3599999999999999E-2</v>
          </cell>
          <cell r="BE20">
            <v>171</v>
          </cell>
          <cell r="BF20">
            <v>11</v>
          </cell>
          <cell r="BG20">
            <v>0.85</v>
          </cell>
          <cell r="BH20">
            <v>2.1</v>
          </cell>
          <cell r="BI20">
            <v>11</v>
          </cell>
          <cell r="BJ20">
            <v>61</v>
          </cell>
          <cell r="BK20">
            <v>11</v>
          </cell>
          <cell r="BO20">
            <v>4.250108331760467E-3</v>
          </cell>
          <cell r="BS20">
            <v>500</v>
          </cell>
          <cell r="BT20" t="str">
            <v>Ceiling (Medium)</v>
          </cell>
          <cell r="BV20">
            <v>1000</v>
          </cell>
          <cell r="BW20" t="str">
            <v>Ceiling (Medium)</v>
          </cell>
          <cell r="BY20">
            <v>3000</v>
          </cell>
          <cell r="BZ20" t="str">
            <v>Ceiling (Medium)</v>
          </cell>
          <cell r="CA20">
            <v>50000</v>
          </cell>
          <cell r="CB20" t="str">
            <v>0.005%</v>
          </cell>
        </row>
        <row r="21">
          <cell r="A21" t="str">
            <v>BIS(2-ETHYLHEXYL)PHTHALATE</v>
          </cell>
          <cell r="B21" t="str">
            <v>117-81-7</v>
          </cell>
          <cell r="C21">
            <v>42923</v>
          </cell>
          <cell r="D21">
            <v>0.02</v>
          </cell>
          <cell r="E21">
            <v>1</v>
          </cell>
          <cell r="F21">
            <v>0.02</v>
          </cell>
          <cell r="G21" t="str">
            <v>2d</v>
          </cell>
          <cell r="H21">
            <v>7.0000000000000001E-3</v>
          </cell>
          <cell r="I21">
            <v>3</v>
          </cell>
          <cell r="J21">
            <v>7.0000000000000001E-3</v>
          </cell>
          <cell r="K21" t="str">
            <v>7c</v>
          </cell>
          <cell r="L21">
            <v>1.4E-2</v>
          </cell>
          <cell r="M21" t="str">
            <v>B2</v>
          </cell>
          <cell r="N21">
            <v>1</v>
          </cell>
          <cell r="O21">
            <v>1.3E-6</v>
          </cell>
          <cell r="P21">
            <v>3</v>
          </cell>
          <cell r="Q21">
            <v>1</v>
          </cell>
          <cell r="R21" t="str">
            <v>9e</v>
          </cell>
          <cell r="S21">
            <v>0.1</v>
          </cell>
          <cell r="T21" t="str">
            <v>9e</v>
          </cell>
          <cell r="U21">
            <v>1</v>
          </cell>
          <cell r="V21" t="str">
            <v>9e</v>
          </cell>
          <cell r="W21">
            <v>0.1</v>
          </cell>
          <cell r="X21" t="str">
            <v>9e</v>
          </cell>
          <cell r="Y21">
            <v>1</v>
          </cell>
          <cell r="Z21" t="str">
            <v>9e</v>
          </cell>
          <cell r="AA21">
            <v>0.1</v>
          </cell>
          <cell r="AB21" t="str">
            <v>9e</v>
          </cell>
          <cell r="AC21">
            <v>1</v>
          </cell>
          <cell r="AD21">
            <v>9</v>
          </cell>
          <cell r="AE21">
            <v>1</v>
          </cell>
          <cell r="AF21">
            <v>9</v>
          </cell>
          <cell r="AG21">
            <v>1</v>
          </cell>
          <cell r="AH21">
            <v>9</v>
          </cell>
          <cell r="AK21">
            <v>1</v>
          </cell>
          <cell r="AL21">
            <v>1</v>
          </cell>
          <cell r="AO21">
            <v>0</v>
          </cell>
          <cell r="AU21">
            <v>0</v>
          </cell>
          <cell r="AW21">
            <v>0</v>
          </cell>
          <cell r="AX21">
            <v>0.66</v>
          </cell>
          <cell r="AY21">
            <v>4</v>
          </cell>
          <cell r="AZ21">
            <v>270</v>
          </cell>
          <cell r="BA21">
            <v>22</v>
          </cell>
          <cell r="BB21">
            <v>2.7000000000000001E-7</v>
          </cell>
          <cell r="BC21">
            <v>22</v>
          </cell>
          <cell r="BD21">
            <v>1.104927156654117E-5</v>
          </cell>
          <cell r="BE21">
            <v>391</v>
          </cell>
          <cell r="BF21">
            <v>13</v>
          </cell>
          <cell r="BH21">
            <v>7.6</v>
          </cell>
          <cell r="BI21">
            <v>16</v>
          </cell>
          <cell r="BJ21">
            <v>111000</v>
          </cell>
          <cell r="BK21" t="str">
            <v>17a</v>
          </cell>
          <cell r="BL21">
            <v>-55</v>
          </cell>
          <cell r="BM21">
            <v>17</v>
          </cell>
          <cell r="BO21">
            <v>1.0626738654024654</v>
          </cell>
          <cell r="BS21">
            <v>1000</v>
          </cell>
          <cell r="BT21" t="str">
            <v>Ceiling (High)</v>
          </cell>
          <cell r="BV21">
            <v>3000</v>
          </cell>
          <cell r="BW21" t="str">
            <v>Ceiling (High)</v>
          </cell>
          <cell r="BY21">
            <v>5000</v>
          </cell>
          <cell r="BZ21" t="str">
            <v>Ceiling (High)</v>
          </cell>
          <cell r="CA21">
            <v>50000</v>
          </cell>
          <cell r="CB21" t="str">
            <v>0.005%</v>
          </cell>
        </row>
        <row r="22">
          <cell r="A22" t="str">
            <v>BROMODICHLOROMETHANE</v>
          </cell>
          <cell r="B22" t="str">
            <v>75-27-4</v>
          </cell>
          <cell r="C22">
            <v>42922</v>
          </cell>
          <cell r="D22">
            <v>3.0000000000000001E-3</v>
          </cell>
          <cell r="E22" t="str">
            <v>6b</v>
          </cell>
          <cell r="F22">
            <v>8.0000000000000002E-3</v>
          </cell>
          <cell r="G22">
            <v>6</v>
          </cell>
          <cell r="H22">
            <v>0.01</v>
          </cell>
          <cell r="I22" t="str">
            <v>7b</v>
          </cell>
          <cell r="J22">
            <v>0.02</v>
          </cell>
          <cell r="K22">
            <v>6</v>
          </cell>
          <cell r="L22">
            <v>6.2E-2</v>
          </cell>
          <cell r="M22" t="str">
            <v>B2</v>
          </cell>
          <cell r="N22">
            <v>1</v>
          </cell>
          <cell r="O22">
            <v>1.7714285714285713E-5</v>
          </cell>
          <cell r="P22" t="str">
            <v>7a</v>
          </cell>
          <cell r="Q22">
            <v>1</v>
          </cell>
          <cell r="R22" t="str">
            <v>9e</v>
          </cell>
          <cell r="S22">
            <v>0.03</v>
          </cell>
          <cell r="T22" t="str">
            <v>9e</v>
          </cell>
          <cell r="U22">
            <v>1</v>
          </cell>
          <cell r="V22" t="str">
            <v>9e</v>
          </cell>
          <cell r="W22">
            <v>0.03</v>
          </cell>
          <cell r="X22" t="str">
            <v>9e</v>
          </cell>
          <cell r="Y22">
            <v>1</v>
          </cell>
          <cell r="Z22" t="str">
            <v>9e</v>
          </cell>
          <cell r="AA22">
            <v>0.03</v>
          </cell>
          <cell r="AB22" t="str">
            <v>9e</v>
          </cell>
          <cell r="AC22">
            <v>1</v>
          </cell>
          <cell r="AD22">
            <v>9</v>
          </cell>
          <cell r="AE22">
            <v>1</v>
          </cell>
          <cell r="AF22">
            <v>9</v>
          </cell>
          <cell r="AG22">
            <v>1</v>
          </cell>
          <cell r="AH22">
            <v>9</v>
          </cell>
          <cell r="AK22">
            <v>0.98</v>
          </cell>
          <cell r="AL22">
            <v>0.98</v>
          </cell>
          <cell r="AO22">
            <v>0</v>
          </cell>
          <cell r="AU22">
            <v>0</v>
          </cell>
          <cell r="AW22">
            <v>0</v>
          </cell>
          <cell r="AX22">
            <v>0.1</v>
          </cell>
          <cell r="AY22">
            <v>2.5</v>
          </cell>
          <cell r="AZ22">
            <v>3030000</v>
          </cell>
          <cell r="BA22">
            <v>23</v>
          </cell>
          <cell r="BB22">
            <v>2.1199999999999999E-3</v>
          </cell>
          <cell r="BC22">
            <v>22</v>
          </cell>
          <cell r="BD22">
            <v>8.6757243411360291E-2</v>
          </cell>
          <cell r="BE22">
            <v>164</v>
          </cell>
          <cell r="BF22">
            <v>13</v>
          </cell>
          <cell r="BG22">
            <v>50</v>
          </cell>
          <cell r="BH22">
            <v>2</v>
          </cell>
          <cell r="BI22">
            <v>16</v>
          </cell>
          <cell r="BJ22">
            <v>55</v>
          </cell>
          <cell r="BK22" t="str">
            <v>17b</v>
          </cell>
          <cell r="BL22">
            <v>-57</v>
          </cell>
          <cell r="BM22">
            <v>17</v>
          </cell>
          <cell r="BO22">
            <v>3.9957655661880549E-3</v>
          </cell>
          <cell r="BS22">
            <v>100</v>
          </cell>
          <cell r="BT22" t="str">
            <v>Ceiling (Low)</v>
          </cell>
          <cell r="BV22">
            <v>500</v>
          </cell>
          <cell r="BW22" t="str">
            <v>Ceiling (Low)</v>
          </cell>
          <cell r="BY22">
            <v>500</v>
          </cell>
          <cell r="BZ22" t="str">
            <v>High Volatility</v>
          </cell>
          <cell r="CA22">
            <v>50000</v>
          </cell>
          <cell r="CB22" t="str">
            <v>0.005%</v>
          </cell>
        </row>
        <row r="23">
          <cell r="A23" t="str">
            <v>BROMOFORM</v>
          </cell>
          <cell r="B23" t="str">
            <v>75-25-2</v>
          </cell>
          <cell r="C23">
            <v>42922</v>
          </cell>
          <cell r="D23">
            <v>0.02</v>
          </cell>
          <cell r="E23">
            <v>1</v>
          </cell>
          <cell r="F23">
            <v>0.03</v>
          </cell>
          <cell r="G23">
            <v>6</v>
          </cell>
          <cell r="H23">
            <v>7.0000000000000007E-2</v>
          </cell>
          <cell r="I23" t="str">
            <v>7b</v>
          </cell>
          <cell r="J23">
            <v>0.09</v>
          </cell>
          <cell r="K23" t="str">
            <v>7b</v>
          </cell>
          <cell r="L23">
            <v>7.9000000000000008E-3</v>
          </cell>
          <cell r="M23" t="str">
            <v>B2</v>
          </cell>
          <cell r="N23">
            <v>1</v>
          </cell>
          <cell r="O23">
            <v>1.1000000000000001E-6</v>
          </cell>
          <cell r="P23">
            <v>1</v>
          </cell>
          <cell r="Q23">
            <v>1</v>
          </cell>
          <cell r="R23" t="str">
            <v>9e</v>
          </cell>
          <cell r="S23">
            <v>0.03</v>
          </cell>
          <cell r="T23" t="str">
            <v>9e</v>
          </cell>
          <cell r="U23">
            <v>1</v>
          </cell>
          <cell r="V23" t="str">
            <v>9e</v>
          </cell>
          <cell r="W23">
            <v>0.03</v>
          </cell>
          <cell r="X23" t="str">
            <v>9e</v>
          </cell>
          <cell r="Y23">
            <v>1</v>
          </cell>
          <cell r="Z23" t="str">
            <v>9e</v>
          </cell>
          <cell r="AA23">
            <v>0.03</v>
          </cell>
          <cell r="AB23" t="str">
            <v>9e</v>
          </cell>
          <cell r="AC23">
            <v>1</v>
          </cell>
          <cell r="AD23">
            <v>9</v>
          </cell>
          <cell r="AE23">
            <v>1</v>
          </cell>
          <cell r="AF23">
            <v>9</v>
          </cell>
          <cell r="AG23">
            <v>1</v>
          </cell>
          <cell r="AH23">
            <v>9</v>
          </cell>
          <cell r="AK23">
            <v>0.9</v>
          </cell>
          <cell r="AL23">
            <v>0.9</v>
          </cell>
          <cell r="AO23">
            <v>0</v>
          </cell>
          <cell r="AR23">
            <v>510</v>
          </cell>
          <cell r="AS23">
            <v>13</v>
          </cell>
          <cell r="AT23">
            <v>13450</v>
          </cell>
          <cell r="AU23">
            <v>1.2998804094456267</v>
          </cell>
          <cell r="AV23">
            <v>13</v>
          </cell>
          <cell r="AW23">
            <v>4.3080886205434004</v>
          </cell>
          <cell r="AX23">
            <v>0.1</v>
          </cell>
          <cell r="AY23">
            <v>3.5</v>
          </cell>
          <cell r="AZ23">
            <v>3100000</v>
          </cell>
          <cell r="BA23">
            <v>22</v>
          </cell>
          <cell r="BB23">
            <v>5.3499999999999999E-4</v>
          </cell>
          <cell r="BC23">
            <v>22</v>
          </cell>
          <cell r="BD23">
            <v>2.1893926992961204E-2</v>
          </cell>
          <cell r="BE23">
            <v>253</v>
          </cell>
          <cell r="BF23">
            <v>13</v>
          </cell>
          <cell r="BG23">
            <v>5.6</v>
          </cell>
          <cell r="BH23">
            <v>2.4</v>
          </cell>
          <cell r="BI23">
            <v>16</v>
          </cell>
          <cell r="BJ23">
            <v>126</v>
          </cell>
          <cell r="BK23" t="str">
            <v>17a</v>
          </cell>
          <cell r="BL23">
            <v>8</v>
          </cell>
          <cell r="BM23">
            <v>17</v>
          </cell>
          <cell r="BO23">
            <v>2.3291636302139665E-3</v>
          </cell>
          <cell r="BS23">
            <v>500</v>
          </cell>
          <cell r="BT23" t="str">
            <v>Ceiling (Medium)</v>
          </cell>
          <cell r="BV23">
            <v>1000</v>
          </cell>
          <cell r="BW23" t="str">
            <v>Ceiling (Medium)</v>
          </cell>
          <cell r="BY23">
            <v>3000</v>
          </cell>
          <cell r="BZ23" t="str">
            <v>Ceiling (Medium)</v>
          </cell>
          <cell r="CA23">
            <v>50000</v>
          </cell>
          <cell r="CB23" t="str">
            <v>0.005%</v>
          </cell>
        </row>
        <row r="24">
          <cell r="A24" t="str">
            <v>BROMOMETHANE</v>
          </cell>
          <cell r="B24" t="str">
            <v>74-83-9</v>
          </cell>
          <cell r="C24">
            <v>42922</v>
          </cell>
          <cell r="D24">
            <v>1.4E-3</v>
          </cell>
          <cell r="E24">
            <v>1</v>
          </cell>
          <cell r="F24">
            <v>5.0000000000000001E-3</v>
          </cell>
          <cell r="G24">
            <v>6</v>
          </cell>
          <cell r="H24">
            <v>5.0000000000000001E-3</v>
          </cell>
          <cell r="I24">
            <v>1</v>
          </cell>
          <cell r="J24">
            <v>0.1</v>
          </cell>
          <cell r="K24">
            <v>6</v>
          </cell>
          <cell r="M24" t="str">
            <v>D</v>
          </cell>
          <cell r="N24">
            <v>1</v>
          </cell>
          <cell r="Q24">
            <v>1</v>
          </cell>
          <cell r="R24" t="str">
            <v>9e</v>
          </cell>
          <cell r="S24">
            <v>0.03</v>
          </cell>
          <cell r="T24" t="str">
            <v>9e</v>
          </cell>
          <cell r="U24">
            <v>1</v>
          </cell>
          <cell r="V24" t="str">
            <v>9e</v>
          </cell>
          <cell r="W24">
            <v>0.03</v>
          </cell>
          <cell r="X24" t="str">
            <v>9e</v>
          </cell>
          <cell r="Y24" t="str">
            <v>NC</v>
          </cell>
          <cell r="AA24" t="str">
            <v>NC</v>
          </cell>
          <cell r="AC24">
            <v>1</v>
          </cell>
          <cell r="AD24">
            <v>9</v>
          </cell>
          <cell r="AE24">
            <v>1</v>
          </cell>
          <cell r="AF24">
            <v>9</v>
          </cell>
          <cell r="AK24">
            <v>0.97</v>
          </cell>
          <cell r="AL24" t="str">
            <v>NC</v>
          </cell>
          <cell r="AO24">
            <v>0.6</v>
          </cell>
          <cell r="AT24">
            <v>80000</v>
          </cell>
          <cell r="AU24">
            <v>20.59055330634278</v>
          </cell>
          <cell r="AV24">
            <v>13</v>
          </cell>
          <cell r="AW24">
            <v>68.963664010067106</v>
          </cell>
          <cell r="AX24">
            <v>0.5</v>
          </cell>
          <cell r="AY24">
            <v>0.55000000000000004</v>
          </cell>
          <cell r="AZ24">
            <v>15200000</v>
          </cell>
          <cell r="BA24">
            <v>22</v>
          </cell>
          <cell r="BB24">
            <v>7.3400000000000002E-3</v>
          </cell>
          <cell r="BC24">
            <v>22</v>
          </cell>
          <cell r="BD24">
            <v>0.30037649369782288</v>
          </cell>
          <cell r="BE24">
            <v>95</v>
          </cell>
          <cell r="BF24">
            <v>13</v>
          </cell>
          <cell r="BG24">
            <v>1420</v>
          </cell>
          <cell r="BH24">
            <v>1.19</v>
          </cell>
          <cell r="BJ24">
            <v>5.8884365535558905</v>
          </cell>
          <cell r="BK24">
            <v>13</v>
          </cell>
          <cell r="BS24">
            <v>500</v>
          </cell>
          <cell r="BT24" t="str">
            <v>Ceiling (Medium)</v>
          </cell>
          <cell r="BV24">
            <v>1000</v>
          </cell>
          <cell r="BW24" t="str">
            <v>Ceiling (Medium)</v>
          </cell>
          <cell r="BY24">
            <v>3000</v>
          </cell>
          <cell r="BZ24" t="str">
            <v>Ceiling (Medium)</v>
          </cell>
          <cell r="CA24">
            <v>50000</v>
          </cell>
          <cell r="CB24" t="str">
            <v>0.005%</v>
          </cell>
        </row>
        <row r="25">
          <cell r="A25" t="str">
            <v>CADMIUM</v>
          </cell>
          <cell r="B25" t="str">
            <v>7440-43-9</v>
          </cell>
          <cell r="C25">
            <v>42922</v>
          </cell>
          <cell r="D25">
            <v>5.0000000000000001E-4</v>
          </cell>
          <cell r="E25" t="str">
            <v>1c</v>
          </cell>
          <cell r="F25">
            <v>5.0000000000000001E-4</v>
          </cell>
          <cell r="G25" t="str">
            <v>1d</v>
          </cell>
          <cell r="H25">
            <v>1.0000000000000001E-5</v>
          </cell>
          <cell r="I25" t="str">
            <v>3a</v>
          </cell>
          <cell r="J25">
            <v>1.0000000000000001E-5</v>
          </cell>
          <cell r="K25" t="str">
            <v>7c</v>
          </cell>
          <cell r="M25" t="str">
            <v>B1</v>
          </cell>
          <cell r="N25">
            <v>1</v>
          </cell>
          <cell r="O25">
            <v>4.1999999999999997E-3</v>
          </cell>
          <cell r="P25" t="str">
            <v>3a</v>
          </cell>
          <cell r="Q25">
            <v>0.5</v>
          </cell>
          <cell r="R25" t="str">
            <v>9g</v>
          </cell>
          <cell r="S25">
            <v>0.01</v>
          </cell>
          <cell r="T25" t="str">
            <v>9e</v>
          </cell>
          <cell r="U25">
            <v>0.5</v>
          </cell>
          <cell r="V25" t="str">
            <v>9g</v>
          </cell>
          <cell r="W25">
            <v>0.01</v>
          </cell>
          <cell r="X25" t="str">
            <v>9e</v>
          </cell>
          <cell r="Y25" t="str">
            <v>NC</v>
          </cell>
          <cell r="AA25" t="str">
            <v>NC</v>
          </cell>
          <cell r="AC25">
            <v>1</v>
          </cell>
          <cell r="AD25">
            <v>9</v>
          </cell>
          <cell r="AE25">
            <v>1</v>
          </cell>
          <cell r="AF25">
            <v>9</v>
          </cell>
          <cell r="AI25">
            <v>3</v>
          </cell>
          <cell r="AK25">
            <v>7.0000000000000007E-2</v>
          </cell>
          <cell r="AL25" t="str">
            <v>NC</v>
          </cell>
          <cell r="AM25">
            <v>2</v>
          </cell>
          <cell r="AN25">
            <v>4.2</v>
          </cell>
          <cell r="AO25">
            <v>0</v>
          </cell>
          <cell r="AU25">
            <v>0</v>
          </cell>
          <cell r="AW25">
            <v>0</v>
          </cell>
          <cell r="AX25">
            <v>0.8</v>
          </cell>
          <cell r="AY25">
            <v>4</v>
          </cell>
          <cell r="AZ25">
            <v>0</v>
          </cell>
          <cell r="BD25">
            <v>0</v>
          </cell>
          <cell r="BE25">
            <v>112</v>
          </cell>
          <cell r="BF25">
            <v>13</v>
          </cell>
          <cell r="BH25">
            <v>-7.0000000000000007E-2</v>
          </cell>
          <cell r="BJ25">
            <v>0</v>
          </cell>
          <cell r="BO25">
            <v>1E-3</v>
          </cell>
          <cell r="BP25">
            <v>1.9</v>
          </cell>
          <cell r="BS25">
            <v>1000</v>
          </cell>
          <cell r="BT25" t="str">
            <v>Ceiling (High)</v>
          </cell>
          <cell r="BV25">
            <v>3000</v>
          </cell>
          <cell r="BW25" t="str">
            <v>Ceiling (High)</v>
          </cell>
          <cell r="BY25">
            <v>5000</v>
          </cell>
          <cell r="BZ25" t="str">
            <v>Ceiling (High)</v>
          </cell>
          <cell r="CA25">
            <v>50000</v>
          </cell>
          <cell r="CB25" t="str">
            <v>0.005%</v>
          </cell>
          <cell r="CC25" t="str">
            <v>Y</v>
          </cell>
        </row>
        <row r="26">
          <cell r="A26" t="str">
            <v>CARBON TETRACHLORIDE</v>
          </cell>
          <cell r="B26" t="str">
            <v>56-23-5</v>
          </cell>
          <cell r="C26">
            <v>42922</v>
          </cell>
          <cell r="D26">
            <v>4.0000000000000001E-3</v>
          </cell>
          <cell r="E26">
            <v>1</v>
          </cell>
          <cell r="F26">
            <v>0.01</v>
          </cell>
          <cell r="G26" t="str">
            <v>1i</v>
          </cell>
          <cell r="H26">
            <v>0.1</v>
          </cell>
          <cell r="I26">
            <v>1</v>
          </cell>
          <cell r="J26">
            <v>0.1</v>
          </cell>
          <cell r="K26" t="str">
            <v>7c</v>
          </cell>
          <cell r="L26">
            <v>7.0000000000000007E-2</v>
          </cell>
          <cell r="M26" t="str">
            <v>B2</v>
          </cell>
          <cell r="N26">
            <v>1</v>
          </cell>
          <cell r="O26">
            <v>6.0000000000000002E-6</v>
          </cell>
          <cell r="P26">
            <v>1</v>
          </cell>
          <cell r="Q26">
            <v>1</v>
          </cell>
          <cell r="R26" t="str">
            <v>9e</v>
          </cell>
          <cell r="S26">
            <v>0.03</v>
          </cell>
          <cell r="T26" t="str">
            <v>9e</v>
          </cell>
          <cell r="U26">
            <v>1</v>
          </cell>
          <cell r="V26" t="str">
            <v>9e</v>
          </cell>
          <cell r="W26">
            <v>0.03</v>
          </cell>
          <cell r="X26" t="str">
            <v>9e</v>
          </cell>
          <cell r="Y26">
            <v>1</v>
          </cell>
          <cell r="Z26" t="str">
            <v>9e</v>
          </cell>
          <cell r="AA26">
            <v>0.03</v>
          </cell>
          <cell r="AB26" t="str">
            <v>9e</v>
          </cell>
          <cell r="AC26">
            <v>1</v>
          </cell>
          <cell r="AD26">
            <v>9</v>
          </cell>
          <cell r="AE26">
            <v>1</v>
          </cell>
          <cell r="AF26">
            <v>9</v>
          </cell>
          <cell r="AG26">
            <v>1</v>
          </cell>
          <cell r="AH26">
            <v>9</v>
          </cell>
          <cell r="AK26">
            <v>1</v>
          </cell>
          <cell r="AL26">
            <v>1</v>
          </cell>
          <cell r="AO26">
            <v>0.86</v>
          </cell>
          <cell r="AP26">
            <v>20</v>
          </cell>
          <cell r="AQ26">
            <v>0.13400000000000001</v>
          </cell>
          <cell r="AR26">
            <v>520</v>
          </cell>
          <cell r="AS26">
            <v>13</v>
          </cell>
          <cell r="AT26">
            <v>63000</v>
          </cell>
          <cell r="AU26">
            <v>10.002797202797201</v>
          </cell>
          <cell r="AV26">
            <v>13</v>
          </cell>
          <cell r="AW26">
            <v>11.296840044742732</v>
          </cell>
          <cell r="AX26">
            <v>0.1</v>
          </cell>
          <cell r="AY26">
            <v>1.5</v>
          </cell>
          <cell r="AZ26">
            <v>793000</v>
          </cell>
          <cell r="BA26">
            <v>22</v>
          </cell>
          <cell r="BB26">
            <v>2.76E-2</v>
          </cell>
          <cell r="BC26">
            <v>22</v>
          </cell>
          <cell r="BD26">
            <v>1.1294810934686528</v>
          </cell>
          <cell r="BE26">
            <v>154</v>
          </cell>
          <cell r="BF26">
            <v>13</v>
          </cell>
          <cell r="BG26">
            <v>113</v>
          </cell>
          <cell r="BH26">
            <v>2.83</v>
          </cell>
          <cell r="BI26">
            <v>16</v>
          </cell>
          <cell r="BJ26">
            <v>152</v>
          </cell>
          <cell r="BK26" t="str">
            <v>17a</v>
          </cell>
          <cell r="BL26">
            <v>-23</v>
          </cell>
          <cell r="BM26">
            <v>17</v>
          </cell>
          <cell r="BO26">
            <v>1.6047227144931665E-2</v>
          </cell>
          <cell r="BS26">
            <v>500</v>
          </cell>
          <cell r="BT26" t="str">
            <v>Ceiling (Medium)</v>
          </cell>
          <cell r="BV26">
            <v>1000</v>
          </cell>
          <cell r="BW26" t="str">
            <v>Ceiling (Medium)</v>
          </cell>
          <cell r="BY26">
            <v>3000</v>
          </cell>
          <cell r="BZ26" t="str">
            <v>Ceiling (Medium)</v>
          </cell>
          <cell r="CA26">
            <v>50000</v>
          </cell>
          <cell r="CB26" t="str">
            <v>0.005%</v>
          </cell>
        </row>
        <row r="27">
          <cell r="A27" t="str">
            <v>CHLORDANE</v>
          </cell>
          <cell r="B27" t="str">
            <v>12789-03-6</v>
          </cell>
          <cell r="C27">
            <v>42922</v>
          </cell>
          <cell r="D27">
            <v>5.0000000000000001E-4</v>
          </cell>
          <cell r="E27">
            <v>1</v>
          </cell>
          <cell r="F27">
            <v>5.0000000000000001E-4</v>
          </cell>
          <cell r="G27" t="str">
            <v>1d</v>
          </cell>
          <cell r="H27">
            <v>6.9999999999999999E-4</v>
          </cell>
          <cell r="I27">
            <v>1</v>
          </cell>
          <cell r="J27">
            <v>7.0000000000000001E-3</v>
          </cell>
          <cell r="K27" t="str">
            <v>1k</v>
          </cell>
          <cell r="L27">
            <v>0.35</v>
          </cell>
          <cell r="M27" t="str">
            <v>B2</v>
          </cell>
          <cell r="N27">
            <v>1</v>
          </cell>
          <cell r="O27">
            <v>1E-4</v>
          </cell>
          <cell r="P27">
            <v>1</v>
          </cell>
          <cell r="Q27">
            <v>1</v>
          </cell>
          <cell r="R27" t="str">
            <v>9e</v>
          </cell>
          <cell r="S27">
            <v>0.04</v>
          </cell>
          <cell r="T27" t="str">
            <v>9e</v>
          </cell>
          <cell r="U27">
            <v>1</v>
          </cell>
          <cell r="V27" t="str">
            <v>9e</v>
          </cell>
          <cell r="W27">
            <v>0.04</v>
          </cell>
          <cell r="X27" t="str">
            <v>9e</v>
          </cell>
          <cell r="Y27">
            <v>1</v>
          </cell>
          <cell r="Z27" t="str">
            <v>9e</v>
          </cell>
          <cell r="AA27">
            <v>0.04</v>
          </cell>
          <cell r="AB27" t="str">
            <v>9e</v>
          </cell>
          <cell r="AC27">
            <v>1</v>
          </cell>
          <cell r="AD27">
            <v>9</v>
          </cell>
          <cell r="AE27">
            <v>1</v>
          </cell>
          <cell r="AF27">
            <v>9</v>
          </cell>
          <cell r="AG27">
            <v>1</v>
          </cell>
          <cell r="AH27">
            <v>9</v>
          </cell>
          <cell r="AK27">
            <v>0.8</v>
          </cell>
          <cell r="AL27">
            <v>0.8</v>
          </cell>
          <cell r="AO27">
            <v>0</v>
          </cell>
          <cell r="AR27">
            <v>205</v>
          </cell>
          <cell r="AS27">
            <v>24</v>
          </cell>
          <cell r="AT27">
            <v>8.4</v>
          </cell>
          <cell r="AU27">
            <v>5.0095309568480291E-4</v>
          </cell>
          <cell r="AW27">
            <v>1.9961948705656766E-2</v>
          </cell>
          <cell r="AX27">
            <v>0.7</v>
          </cell>
          <cell r="AY27">
            <v>1.5</v>
          </cell>
          <cell r="AZ27">
            <v>13</v>
          </cell>
          <cell r="BA27">
            <v>22</v>
          </cell>
          <cell r="BB27">
            <v>7.0300000000000001E-5</v>
          </cell>
          <cell r="BC27">
            <v>22</v>
          </cell>
          <cell r="BD27">
            <v>2.8769029301031267E-3</v>
          </cell>
          <cell r="BE27">
            <v>410</v>
          </cell>
          <cell r="BF27">
            <v>13</v>
          </cell>
          <cell r="BG27">
            <v>1.0000000000000001E-5</v>
          </cell>
          <cell r="BH27">
            <v>6.26</v>
          </cell>
          <cell r="BI27">
            <v>16</v>
          </cell>
          <cell r="BJ27">
            <v>51300</v>
          </cell>
          <cell r="BK27" t="str">
            <v>17a</v>
          </cell>
          <cell r="BL27">
            <v>106</v>
          </cell>
          <cell r="BM27">
            <v>17</v>
          </cell>
          <cell r="BO27">
            <v>0.10854254493068262</v>
          </cell>
          <cell r="BP27">
            <v>11.104166666666666</v>
          </cell>
          <cell r="BS27">
            <v>1000</v>
          </cell>
          <cell r="BT27" t="str">
            <v>Ceiling (High)</v>
          </cell>
          <cell r="BV27">
            <v>3000</v>
          </cell>
          <cell r="BW27" t="str">
            <v>Ceiling (High)</v>
          </cell>
          <cell r="BY27">
            <v>5000</v>
          </cell>
          <cell r="BZ27" t="str">
            <v>Ceiling (High)</v>
          </cell>
          <cell r="CA27">
            <v>50000</v>
          </cell>
          <cell r="CB27" t="str">
            <v>0.005%</v>
          </cell>
        </row>
        <row r="28">
          <cell r="A28" t="str">
            <v>CHLOROANILINE, p-</v>
          </cell>
          <cell r="B28" t="str">
            <v>106-47-8</v>
          </cell>
          <cell r="C28">
            <v>42922</v>
          </cell>
          <cell r="D28">
            <v>5.0000000000000001E-4</v>
          </cell>
          <cell r="E28" t="str">
            <v>6a</v>
          </cell>
          <cell r="F28">
            <v>5.0000000000000001E-4</v>
          </cell>
          <cell r="G28">
            <v>6</v>
          </cell>
          <cell r="H28">
            <v>2E-3</v>
          </cell>
          <cell r="I28" t="str">
            <v>7b</v>
          </cell>
          <cell r="J28">
            <v>2E-3</v>
          </cell>
          <cell r="K28" t="str">
            <v>7c</v>
          </cell>
          <cell r="L28">
            <v>0.2</v>
          </cell>
          <cell r="N28">
            <v>6</v>
          </cell>
          <cell r="Q28">
            <v>1</v>
          </cell>
          <cell r="R28" t="str">
            <v>9e</v>
          </cell>
          <cell r="S28">
            <v>0.1</v>
          </cell>
          <cell r="T28" t="str">
            <v>9e</v>
          </cell>
          <cell r="U28">
            <v>1</v>
          </cell>
          <cell r="V28" t="str">
            <v>9e</v>
          </cell>
          <cell r="W28">
            <v>0.1</v>
          </cell>
          <cell r="X28" t="str">
            <v>9e</v>
          </cell>
          <cell r="Y28">
            <v>1</v>
          </cell>
          <cell r="Z28" t="str">
            <v>9e</v>
          </cell>
          <cell r="AA28">
            <v>0.1</v>
          </cell>
          <cell r="AB28" t="str">
            <v>9e</v>
          </cell>
          <cell r="AC28">
            <v>1</v>
          </cell>
          <cell r="AD28">
            <v>9</v>
          </cell>
          <cell r="AE28">
            <v>1</v>
          </cell>
          <cell r="AF28">
            <v>9</v>
          </cell>
          <cell r="AG28">
            <v>1</v>
          </cell>
          <cell r="AH28">
            <v>9</v>
          </cell>
          <cell r="AK28">
            <v>1</v>
          </cell>
          <cell r="AL28">
            <v>1</v>
          </cell>
          <cell r="AO28">
            <v>0</v>
          </cell>
          <cell r="AU28">
            <v>0</v>
          </cell>
          <cell r="AW28">
            <v>0</v>
          </cell>
          <cell r="AX28">
            <v>1.3</v>
          </cell>
          <cell r="AY28">
            <v>20</v>
          </cell>
          <cell r="AZ28">
            <v>3900000</v>
          </cell>
          <cell r="BA28">
            <v>22</v>
          </cell>
          <cell r="BB28">
            <v>1.1599999999999999E-6</v>
          </cell>
          <cell r="BC28">
            <v>22</v>
          </cell>
          <cell r="BD28">
            <v>4.7470944508102797E-5</v>
          </cell>
          <cell r="BE28">
            <v>128</v>
          </cell>
          <cell r="BF28">
            <v>12</v>
          </cell>
          <cell r="BG28">
            <v>1.4999999999999999E-2</v>
          </cell>
          <cell r="BH28">
            <v>1.83</v>
          </cell>
          <cell r="BI28">
            <v>17</v>
          </cell>
          <cell r="BJ28">
            <v>66.099999999999994</v>
          </cell>
          <cell r="BK28" t="str">
            <v>17b</v>
          </cell>
          <cell r="BL28">
            <v>72.5</v>
          </cell>
          <cell r="BM28">
            <v>17</v>
          </cell>
          <cell r="BO28">
            <v>4.909078761526034E-3</v>
          </cell>
          <cell r="BS28">
            <v>1000</v>
          </cell>
          <cell r="BT28" t="str">
            <v>Ceiling (High)</v>
          </cell>
          <cell r="BV28">
            <v>3000</v>
          </cell>
          <cell r="BW28" t="str">
            <v>Ceiling (High)</v>
          </cell>
          <cell r="BY28">
            <v>5000</v>
          </cell>
          <cell r="BZ28" t="str">
            <v>Ceiling (High)</v>
          </cell>
          <cell r="CA28">
            <v>50000</v>
          </cell>
          <cell r="CB28" t="str">
            <v>0.005%</v>
          </cell>
        </row>
        <row r="29">
          <cell r="A29" t="str">
            <v>CHLOROBENZENE</v>
          </cell>
          <cell r="B29" t="str">
            <v>108-90-7</v>
          </cell>
          <cell r="C29">
            <v>42922</v>
          </cell>
          <cell r="D29">
            <v>0.02</v>
          </cell>
          <cell r="E29">
            <v>1</v>
          </cell>
          <cell r="F29">
            <v>7.0000000000000007E-2</v>
          </cell>
          <cell r="G29">
            <v>6</v>
          </cell>
          <cell r="H29">
            <v>0.05</v>
          </cell>
          <cell r="I29">
            <v>6</v>
          </cell>
          <cell r="J29">
            <v>0.5</v>
          </cell>
          <cell r="K29">
            <v>6</v>
          </cell>
          <cell r="M29" t="str">
            <v>D</v>
          </cell>
          <cell r="N29">
            <v>1</v>
          </cell>
          <cell r="Q29">
            <v>1</v>
          </cell>
          <cell r="R29" t="str">
            <v>9e</v>
          </cell>
          <cell r="S29">
            <v>0.03</v>
          </cell>
          <cell r="T29" t="str">
            <v>9e</v>
          </cell>
          <cell r="U29">
            <v>1</v>
          </cell>
          <cell r="V29" t="str">
            <v>9e</v>
          </cell>
          <cell r="W29">
            <v>0.03</v>
          </cell>
          <cell r="X29" t="str">
            <v>9e</v>
          </cell>
          <cell r="Y29" t="str">
            <v>NC</v>
          </cell>
          <cell r="AA29" t="str">
            <v>NC</v>
          </cell>
          <cell r="AC29">
            <v>1</v>
          </cell>
          <cell r="AD29">
            <v>9</v>
          </cell>
          <cell r="AE29">
            <v>1</v>
          </cell>
          <cell r="AF29">
            <v>9</v>
          </cell>
          <cell r="AK29">
            <v>1</v>
          </cell>
          <cell r="AL29" t="str">
            <v>NC</v>
          </cell>
          <cell r="AO29">
            <v>10</v>
          </cell>
          <cell r="AP29">
            <v>10</v>
          </cell>
          <cell r="AR29">
            <v>50</v>
          </cell>
          <cell r="AS29">
            <v>13</v>
          </cell>
          <cell r="AT29">
            <v>1000</v>
          </cell>
          <cell r="AU29">
            <v>0.21638302700249598</v>
          </cell>
          <cell r="AV29">
            <v>13</v>
          </cell>
          <cell r="AW29">
            <v>54.532927852349012</v>
          </cell>
          <cell r="AX29">
            <v>0.1</v>
          </cell>
          <cell r="AY29">
            <v>0.5</v>
          </cell>
          <cell r="AZ29">
            <v>498000</v>
          </cell>
          <cell r="BA29">
            <v>22</v>
          </cell>
          <cell r="BB29">
            <v>3.1099999999999999E-3</v>
          </cell>
          <cell r="BC29">
            <v>22</v>
          </cell>
          <cell r="BD29">
            <v>0.12727123915534458</v>
          </cell>
          <cell r="BE29">
            <v>113</v>
          </cell>
          <cell r="BF29">
            <v>13</v>
          </cell>
          <cell r="BG29">
            <v>11.8</v>
          </cell>
          <cell r="BH29">
            <v>2.84</v>
          </cell>
          <cell r="BI29">
            <v>16</v>
          </cell>
          <cell r="BJ29">
            <v>224</v>
          </cell>
          <cell r="BK29" t="str">
            <v>17a</v>
          </cell>
          <cell r="BL29">
            <v>-45.2</v>
          </cell>
          <cell r="BM29">
            <v>17</v>
          </cell>
          <cell r="BO29">
            <v>2.7643943712203363E-2</v>
          </cell>
          <cell r="BS29">
            <v>500</v>
          </cell>
          <cell r="BT29" t="str">
            <v>Ceiling (Medium)</v>
          </cell>
          <cell r="BV29">
            <v>1000</v>
          </cell>
          <cell r="BW29" t="str">
            <v>Ceiling (Medium)</v>
          </cell>
          <cell r="BY29">
            <v>3000</v>
          </cell>
          <cell r="BZ29" t="str">
            <v>Ceiling (Medium)</v>
          </cell>
          <cell r="CA29">
            <v>50000</v>
          </cell>
          <cell r="CB29" t="str">
            <v>0.005%</v>
          </cell>
        </row>
        <row r="30">
          <cell r="A30" t="str">
            <v>CHLOROFORM</v>
          </cell>
          <cell r="B30" t="str">
            <v>67-66-3</v>
          </cell>
          <cell r="C30">
            <v>42923</v>
          </cell>
          <cell r="D30">
            <v>0.01</v>
          </cell>
          <cell r="E30">
            <v>1</v>
          </cell>
          <cell r="F30">
            <v>0.01</v>
          </cell>
          <cell r="G30">
            <v>2</v>
          </cell>
          <cell r="H30">
            <v>0.66</v>
          </cell>
          <cell r="I30">
            <v>3</v>
          </cell>
          <cell r="J30">
            <v>0.66</v>
          </cell>
          <cell r="K30" t="str">
            <v>7c</v>
          </cell>
          <cell r="M30" t="str">
            <v>B2</v>
          </cell>
          <cell r="N30">
            <v>1</v>
          </cell>
          <cell r="O30">
            <v>2.3E-5</v>
          </cell>
          <cell r="P30">
            <v>1</v>
          </cell>
          <cell r="Q30">
            <v>1</v>
          </cell>
          <cell r="R30" t="str">
            <v>9e</v>
          </cell>
          <cell r="S30">
            <v>0.03</v>
          </cell>
          <cell r="T30" t="str">
            <v>9e</v>
          </cell>
          <cell r="U30">
            <v>1</v>
          </cell>
          <cell r="V30" t="str">
            <v>9e</v>
          </cell>
          <cell r="W30">
            <v>0.03</v>
          </cell>
          <cell r="X30" t="str">
            <v>9e</v>
          </cell>
          <cell r="Y30" t="str">
            <v>NC</v>
          </cell>
          <cell r="AA30" t="str">
            <v>NC</v>
          </cell>
          <cell r="AC30">
            <v>1</v>
          </cell>
          <cell r="AD30">
            <v>9</v>
          </cell>
          <cell r="AE30">
            <v>1</v>
          </cell>
          <cell r="AF30">
            <v>9</v>
          </cell>
          <cell r="AK30">
            <v>1</v>
          </cell>
          <cell r="AL30">
            <v>1</v>
          </cell>
          <cell r="AO30">
            <v>3</v>
          </cell>
          <cell r="AP30">
            <v>15</v>
          </cell>
          <cell r="AQ30">
            <v>0.69099999999999995</v>
          </cell>
          <cell r="AR30">
            <v>2400</v>
          </cell>
          <cell r="AS30">
            <v>13</v>
          </cell>
          <cell r="AT30">
            <v>421600</v>
          </cell>
          <cell r="AU30">
            <v>86.627399267399255</v>
          </cell>
          <cell r="AV30">
            <v>13</v>
          </cell>
          <cell r="AW30">
            <v>1.8469906906256768</v>
          </cell>
          <cell r="AX30">
            <v>0.1</v>
          </cell>
          <cell r="AY30">
            <v>1</v>
          </cell>
          <cell r="AZ30">
            <v>7950000</v>
          </cell>
          <cell r="BA30">
            <v>22</v>
          </cell>
          <cell r="BB30">
            <v>3.6700000000000001E-3</v>
          </cell>
          <cell r="BC30">
            <v>22</v>
          </cell>
          <cell r="BD30">
            <v>0.15018824684891144</v>
          </cell>
          <cell r="BE30">
            <v>119</v>
          </cell>
          <cell r="BF30">
            <v>13</v>
          </cell>
          <cell r="BG30">
            <v>160</v>
          </cell>
          <cell r="BH30">
            <v>1.97</v>
          </cell>
          <cell r="BI30">
            <v>16</v>
          </cell>
          <cell r="BJ30">
            <v>52.5</v>
          </cell>
          <cell r="BK30" t="str">
            <v>17a</v>
          </cell>
          <cell r="BL30">
            <v>-63.6</v>
          </cell>
          <cell r="BM30">
            <v>17</v>
          </cell>
          <cell r="BO30">
            <v>6.8202453790326776E-3</v>
          </cell>
          <cell r="BS30">
            <v>500</v>
          </cell>
          <cell r="BT30" t="str">
            <v>Ceiling (Medium)</v>
          </cell>
          <cell r="BV30">
            <v>1000</v>
          </cell>
          <cell r="BW30" t="str">
            <v>Ceiling (Medium)</v>
          </cell>
          <cell r="BY30">
            <v>3000</v>
          </cell>
          <cell r="BZ30" t="str">
            <v>Ceiling (Medium)</v>
          </cell>
          <cell r="CA30">
            <v>50000</v>
          </cell>
          <cell r="CB30" t="str">
            <v>0.005%</v>
          </cell>
        </row>
        <row r="31">
          <cell r="A31" t="str">
            <v>CHLOROPHENOL, 2-</v>
          </cell>
          <cell r="B31" t="str">
            <v>95-57-8</v>
          </cell>
          <cell r="C31">
            <v>42922</v>
          </cell>
          <cell r="D31">
            <v>5.0000000000000001E-3</v>
          </cell>
          <cell r="E31">
            <v>1</v>
          </cell>
          <cell r="F31">
            <v>8.0000000000000002E-3</v>
          </cell>
          <cell r="G31">
            <v>6</v>
          </cell>
          <cell r="H31">
            <v>1.7999999999999999E-2</v>
          </cell>
          <cell r="I31" t="str">
            <v>7b</v>
          </cell>
          <cell r="J31">
            <v>0.03</v>
          </cell>
          <cell r="K31">
            <v>6</v>
          </cell>
          <cell r="Q31">
            <v>1</v>
          </cell>
          <cell r="R31" t="str">
            <v>9e</v>
          </cell>
          <cell r="S31">
            <v>0.3</v>
          </cell>
          <cell r="T31" t="str">
            <v>9b</v>
          </cell>
          <cell r="U31">
            <v>1</v>
          </cell>
          <cell r="V31" t="str">
            <v>9e</v>
          </cell>
          <cell r="W31">
            <v>0.3</v>
          </cell>
          <cell r="X31" t="str">
            <v>9e</v>
          </cell>
          <cell r="Y31" t="str">
            <v>NC</v>
          </cell>
          <cell r="AA31" t="str">
            <v>NC</v>
          </cell>
          <cell r="AC31">
            <v>1</v>
          </cell>
          <cell r="AD31">
            <v>9</v>
          </cell>
          <cell r="AE31">
            <v>1</v>
          </cell>
          <cell r="AF31">
            <v>9</v>
          </cell>
          <cell r="AK31">
            <v>1</v>
          </cell>
          <cell r="AL31" t="str">
            <v>NC</v>
          </cell>
          <cell r="AO31">
            <v>0</v>
          </cell>
          <cell r="AR31">
            <v>0.18</v>
          </cell>
          <cell r="AS31">
            <v>24</v>
          </cell>
          <cell r="AT31">
            <v>19</v>
          </cell>
          <cell r="AU31">
            <v>3.6013516199562708E-3</v>
          </cell>
          <cell r="AW31">
            <v>0</v>
          </cell>
          <cell r="AX31">
            <v>0.66</v>
          </cell>
          <cell r="AY31">
            <v>10</v>
          </cell>
          <cell r="AZ31">
            <v>11300000</v>
          </cell>
          <cell r="BA31">
            <v>22</v>
          </cell>
          <cell r="BB31">
            <v>1.1199999999999999E-5</v>
          </cell>
          <cell r="BC31">
            <v>22</v>
          </cell>
          <cell r="BD31">
            <v>4.5834015387133734E-4</v>
          </cell>
          <cell r="BE31">
            <v>129</v>
          </cell>
          <cell r="BF31">
            <v>12</v>
          </cell>
          <cell r="BH31">
            <v>2.15</v>
          </cell>
          <cell r="BI31">
            <v>16</v>
          </cell>
          <cell r="BJ31">
            <v>286</v>
          </cell>
          <cell r="BK31" t="str">
            <v>17b</v>
          </cell>
          <cell r="BL31">
            <v>-9.8000000000000007</v>
          </cell>
          <cell r="BM31">
            <v>17</v>
          </cell>
          <cell r="BO31">
            <v>7.8813388509341598E-3</v>
          </cell>
          <cell r="BS31">
            <v>1000</v>
          </cell>
          <cell r="BT31" t="str">
            <v>Ceiling (High)</v>
          </cell>
          <cell r="BV31">
            <v>3000</v>
          </cell>
          <cell r="BW31" t="str">
            <v>Ceiling (High)</v>
          </cell>
          <cell r="BY31">
            <v>5000</v>
          </cell>
          <cell r="BZ31" t="str">
            <v>Ceiling (High)</v>
          </cell>
          <cell r="CA31">
            <v>50000</v>
          </cell>
          <cell r="CB31" t="str">
            <v>0.005%</v>
          </cell>
        </row>
        <row r="32">
          <cell r="A32" t="str">
            <v>CHROMIUM (TOTAL)</v>
          </cell>
          <cell r="B32" t="str">
            <v>7440-47-3</v>
          </cell>
          <cell r="C32">
            <v>42923</v>
          </cell>
          <cell r="D32">
            <v>3.0000000000000001E-3</v>
          </cell>
          <cell r="E32">
            <v>1</v>
          </cell>
          <cell r="F32">
            <v>0.02</v>
          </cell>
          <cell r="G32">
            <v>2</v>
          </cell>
          <cell r="H32">
            <v>1E-4</v>
          </cell>
          <cell r="I32">
            <v>1</v>
          </cell>
          <cell r="J32">
            <v>3.0000000000000003E-4</v>
          </cell>
          <cell r="K32" t="str">
            <v>1k</v>
          </cell>
          <cell r="O32">
            <v>1.2E-2</v>
          </cell>
          <cell r="P32">
            <v>1</v>
          </cell>
          <cell r="Q32">
            <v>1</v>
          </cell>
          <cell r="R32" t="str">
            <v>9e</v>
          </cell>
          <cell r="S32">
            <v>0.1</v>
          </cell>
          <cell r="T32" t="str">
            <v>9e</v>
          </cell>
          <cell r="U32">
            <v>1</v>
          </cell>
          <cell r="V32" t="str">
            <v>9e</v>
          </cell>
          <cell r="W32">
            <v>0.1</v>
          </cell>
          <cell r="X32" t="str">
            <v>9e</v>
          </cell>
          <cell r="Y32" t="str">
            <v>NC</v>
          </cell>
          <cell r="AA32" t="str">
            <v>NC</v>
          </cell>
          <cell r="AC32">
            <v>1</v>
          </cell>
          <cell r="AD32">
            <v>9</v>
          </cell>
          <cell r="AE32">
            <v>1</v>
          </cell>
          <cell r="AF32">
            <v>9</v>
          </cell>
          <cell r="AI32">
            <v>40</v>
          </cell>
          <cell r="AK32">
            <v>0.11</v>
          </cell>
          <cell r="AL32" t="str">
            <v>NC</v>
          </cell>
          <cell r="AM32">
            <v>30</v>
          </cell>
          <cell r="AN32">
            <v>4.9000000000000004</v>
          </cell>
          <cell r="AO32">
            <v>0</v>
          </cell>
          <cell r="AW32">
            <v>0</v>
          </cell>
          <cell r="AX32">
            <v>0</v>
          </cell>
          <cell r="AY32">
            <v>0.5</v>
          </cell>
          <cell r="AZ32">
            <v>0</v>
          </cell>
          <cell r="BD32">
            <v>0</v>
          </cell>
          <cell r="BE32">
            <v>52</v>
          </cell>
          <cell r="BH32">
            <v>0.23</v>
          </cell>
          <cell r="BJ32">
            <v>0</v>
          </cell>
          <cell r="BO32">
            <v>2E-3</v>
          </cell>
          <cell r="BS32">
            <v>1000</v>
          </cell>
          <cell r="BT32" t="str">
            <v>Ceiling (High)</v>
          </cell>
          <cell r="BV32">
            <v>3000</v>
          </cell>
          <cell r="BW32" t="str">
            <v>Ceiling (High)</v>
          </cell>
          <cell r="BY32">
            <v>5000</v>
          </cell>
          <cell r="BZ32" t="str">
            <v>Ceiling (High)</v>
          </cell>
          <cell r="CA32">
            <v>50000</v>
          </cell>
          <cell r="CB32" t="str">
            <v>0.005%</v>
          </cell>
          <cell r="CC32" t="str">
            <v>Y</v>
          </cell>
        </row>
        <row r="33">
          <cell r="A33" t="str">
            <v>CHROMIUM(III)</v>
          </cell>
          <cell r="B33" t="str">
            <v>16065-83-1</v>
          </cell>
          <cell r="C33">
            <v>42922</v>
          </cell>
          <cell r="D33">
            <v>1.5</v>
          </cell>
          <cell r="E33">
            <v>1</v>
          </cell>
          <cell r="F33">
            <v>1.5</v>
          </cell>
          <cell r="G33" t="str">
            <v>1d</v>
          </cell>
          <cell r="H33">
            <v>1E-4</v>
          </cell>
          <cell r="I33" t="str">
            <v>1h</v>
          </cell>
          <cell r="J33">
            <v>3.0000000000000003E-4</v>
          </cell>
          <cell r="K33" t="str">
            <v>1k</v>
          </cell>
          <cell r="Q33">
            <v>1</v>
          </cell>
          <cell r="R33" t="str">
            <v>9e</v>
          </cell>
          <cell r="S33">
            <v>0.1</v>
          </cell>
          <cell r="T33" t="str">
            <v>9e</v>
          </cell>
          <cell r="U33">
            <v>1</v>
          </cell>
          <cell r="V33" t="str">
            <v>9e</v>
          </cell>
          <cell r="W33">
            <v>0.1</v>
          </cell>
          <cell r="X33" t="str">
            <v>9e</v>
          </cell>
          <cell r="Y33" t="str">
            <v>NC</v>
          </cell>
          <cell r="AA33" t="str">
            <v>NC</v>
          </cell>
          <cell r="AC33">
            <v>1</v>
          </cell>
          <cell r="AD33">
            <v>9</v>
          </cell>
          <cell r="AE33">
            <v>1</v>
          </cell>
          <cell r="AF33">
            <v>9</v>
          </cell>
          <cell r="AI33">
            <v>40</v>
          </cell>
          <cell r="AK33">
            <v>0.25</v>
          </cell>
          <cell r="AL33" t="str">
            <v>NC</v>
          </cell>
          <cell r="AM33">
            <v>30</v>
          </cell>
          <cell r="AN33">
            <v>4.9000000000000004</v>
          </cell>
          <cell r="AO33">
            <v>0</v>
          </cell>
          <cell r="AU33">
            <v>0</v>
          </cell>
          <cell r="AW33">
            <v>0</v>
          </cell>
          <cell r="AX33">
            <v>1.4</v>
          </cell>
          <cell r="AY33">
            <v>7</v>
          </cell>
          <cell r="AZ33">
            <v>0</v>
          </cell>
          <cell r="BD33">
            <v>0</v>
          </cell>
          <cell r="BE33">
            <v>52</v>
          </cell>
          <cell r="BF33">
            <v>13</v>
          </cell>
          <cell r="BJ33">
            <v>0</v>
          </cell>
          <cell r="BO33">
            <v>1E-3</v>
          </cell>
          <cell r="BP33">
            <v>9.5000000000000001E-2</v>
          </cell>
          <cell r="BS33">
            <v>1000</v>
          </cell>
          <cell r="BT33" t="str">
            <v>Ceiling (High)</v>
          </cell>
          <cell r="BV33">
            <v>3000</v>
          </cell>
          <cell r="BW33" t="str">
            <v>Ceiling (High)</v>
          </cell>
          <cell r="BY33">
            <v>5000</v>
          </cell>
          <cell r="BZ33" t="str">
            <v>Ceiling (High)</v>
          </cell>
          <cell r="CA33">
            <v>50000</v>
          </cell>
          <cell r="CB33" t="str">
            <v>0.005%</v>
          </cell>
          <cell r="CC33" t="str">
            <v>Y</v>
          </cell>
        </row>
        <row r="34">
          <cell r="A34" t="str">
            <v>CHROMIUM(VI)</v>
          </cell>
          <cell r="B34" t="str">
            <v>18540-29-9</v>
          </cell>
          <cell r="C34">
            <v>42923</v>
          </cell>
          <cell r="D34">
            <v>3.0000000000000001E-3</v>
          </cell>
          <cell r="E34">
            <v>1</v>
          </cell>
          <cell r="F34">
            <v>0.02</v>
          </cell>
          <cell r="G34">
            <v>2</v>
          </cell>
          <cell r="H34">
            <v>1E-4</v>
          </cell>
          <cell r="I34">
            <v>1</v>
          </cell>
          <cell r="J34">
            <v>3.0000000000000003E-4</v>
          </cell>
          <cell r="K34" t="str">
            <v>1k</v>
          </cell>
          <cell r="O34">
            <v>1.2E-2</v>
          </cell>
          <cell r="P34">
            <v>1</v>
          </cell>
          <cell r="Q34">
            <v>1</v>
          </cell>
          <cell r="R34" t="str">
            <v>9e</v>
          </cell>
          <cell r="S34">
            <v>0.1</v>
          </cell>
          <cell r="T34" t="str">
            <v>9e</v>
          </cell>
          <cell r="U34">
            <v>1</v>
          </cell>
          <cell r="V34" t="str">
            <v>9d</v>
          </cell>
          <cell r="W34">
            <v>0.1</v>
          </cell>
          <cell r="X34" t="str">
            <v>9e</v>
          </cell>
          <cell r="Y34" t="str">
            <v>NC</v>
          </cell>
          <cell r="AA34" t="str">
            <v>NC</v>
          </cell>
          <cell r="AC34">
            <v>1</v>
          </cell>
          <cell r="AD34">
            <v>9</v>
          </cell>
          <cell r="AE34">
            <v>1</v>
          </cell>
          <cell r="AF34">
            <v>9</v>
          </cell>
          <cell r="AG34">
            <v>1</v>
          </cell>
          <cell r="AH34">
            <v>9</v>
          </cell>
          <cell r="AI34">
            <v>40</v>
          </cell>
          <cell r="AK34">
            <v>0.11</v>
          </cell>
          <cell r="AL34">
            <v>0.11</v>
          </cell>
          <cell r="AM34">
            <v>30</v>
          </cell>
          <cell r="AN34">
            <v>4.9000000000000004</v>
          </cell>
          <cell r="AO34">
            <v>0</v>
          </cell>
          <cell r="AU34">
            <v>0</v>
          </cell>
          <cell r="AW34">
            <v>0</v>
          </cell>
          <cell r="AX34">
            <v>0</v>
          </cell>
          <cell r="AY34">
            <v>0.5</v>
          </cell>
          <cell r="AZ34">
            <v>0</v>
          </cell>
          <cell r="BD34">
            <v>0</v>
          </cell>
          <cell r="BE34">
            <v>52</v>
          </cell>
          <cell r="BF34">
            <v>13</v>
          </cell>
          <cell r="BJ34">
            <v>0</v>
          </cell>
          <cell r="BO34">
            <v>2E-3</v>
          </cell>
          <cell r="BP34">
            <v>9.5000000000000001E-2</v>
          </cell>
          <cell r="BS34">
            <v>1000</v>
          </cell>
          <cell r="BT34" t="str">
            <v>Ceiling (High)</v>
          </cell>
          <cell r="BV34">
            <v>3000</v>
          </cell>
          <cell r="BW34" t="str">
            <v>Ceiling (High)</v>
          </cell>
          <cell r="BY34">
            <v>5000</v>
          </cell>
          <cell r="BZ34" t="str">
            <v>Ceiling (High)</v>
          </cell>
          <cell r="CA34">
            <v>50000</v>
          </cell>
          <cell r="CB34" t="str">
            <v>0.005%</v>
          </cell>
          <cell r="CC34" t="str">
            <v>Y</v>
          </cell>
        </row>
        <row r="35">
          <cell r="A35" t="str">
            <v>CHRYSENE</v>
          </cell>
          <cell r="B35" t="str">
            <v>218-01-9</v>
          </cell>
          <cell r="C35">
            <v>42922</v>
          </cell>
          <cell r="D35">
            <v>0.03</v>
          </cell>
          <cell r="E35" t="str">
            <v>5d</v>
          </cell>
          <cell r="F35">
            <v>0.3</v>
          </cell>
          <cell r="G35" t="str">
            <v>5d</v>
          </cell>
          <cell r="H35">
            <v>0.05</v>
          </cell>
          <cell r="I35" t="str">
            <v>5d</v>
          </cell>
          <cell r="J35">
            <v>0.5</v>
          </cell>
          <cell r="K35" t="str">
            <v>5d</v>
          </cell>
          <cell r="L35">
            <v>0.01</v>
          </cell>
          <cell r="M35" t="str">
            <v>B2</v>
          </cell>
          <cell r="N35" t="str">
            <v>1e</v>
          </cell>
          <cell r="O35">
            <v>5.9999999999999997E-7</v>
          </cell>
          <cell r="P35" t="str">
            <v>1e</v>
          </cell>
          <cell r="Q35">
            <v>0.3</v>
          </cell>
          <cell r="R35" t="str">
            <v>9d</v>
          </cell>
          <cell r="S35">
            <v>0.02</v>
          </cell>
          <cell r="T35" t="str">
            <v>9d</v>
          </cell>
          <cell r="U35">
            <v>0.3</v>
          </cell>
          <cell r="V35" t="str">
            <v>9e</v>
          </cell>
          <cell r="W35">
            <v>0.02</v>
          </cell>
          <cell r="X35" t="str">
            <v>9d</v>
          </cell>
          <cell r="Y35">
            <v>0.3</v>
          </cell>
          <cell r="Z35" t="str">
            <v>9d</v>
          </cell>
          <cell r="AA35">
            <v>0.02</v>
          </cell>
          <cell r="AB35" t="str">
            <v>9d</v>
          </cell>
          <cell r="AC35">
            <v>1</v>
          </cell>
          <cell r="AD35">
            <v>9</v>
          </cell>
          <cell r="AE35">
            <v>1</v>
          </cell>
          <cell r="AF35">
            <v>9</v>
          </cell>
          <cell r="AG35">
            <v>1</v>
          </cell>
          <cell r="AH35">
            <v>9</v>
          </cell>
          <cell r="AI35">
            <v>7</v>
          </cell>
          <cell r="AJ35" t="str">
            <v>M</v>
          </cell>
          <cell r="AK35">
            <v>0.92</v>
          </cell>
          <cell r="AL35">
            <v>0.92</v>
          </cell>
          <cell r="AM35">
            <v>2</v>
          </cell>
          <cell r="AO35">
            <v>0</v>
          </cell>
          <cell r="AU35">
            <v>0</v>
          </cell>
          <cell r="AW35">
            <v>0</v>
          </cell>
          <cell r="AX35">
            <v>0.66</v>
          </cell>
          <cell r="AY35">
            <v>1.5</v>
          </cell>
          <cell r="AZ35">
            <v>2</v>
          </cell>
          <cell r="BA35">
            <v>22</v>
          </cell>
          <cell r="BB35">
            <v>5.2299999999999999E-6</v>
          </cell>
          <cell r="BC35">
            <v>22</v>
          </cell>
          <cell r="BD35">
            <v>2.1402848256670486E-4</v>
          </cell>
          <cell r="BE35">
            <v>228</v>
          </cell>
          <cell r="BF35">
            <v>13</v>
          </cell>
          <cell r="BG35">
            <v>6.3000000000000002E-9</v>
          </cell>
          <cell r="BH35">
            <v>5.81</v>
          </cell>
          <cell r="BI35">
            <v>16</v>
          </cell>
          <cell r="BJ35">
            <v>398000</v>
          </cell>
          <cell r="BK35" t="str">
            <v>17b</v>
          </cell>
          <cell r="BL35">
            <v>258.2</v>
          </cell>
          <cell r="BM35">
            <v>17</v>
          </cell>
          <cell r="BO35">
            <v>0.57253230939417599</v>
          </cell>
          <cell r="BS35">
            <v>1000</v>
          </cell>
          <cell r="BT35" t="str">
            <v>Ceiling (High)</v>
          </cell>
          <cell r="BV35">
            <v>3000</v>
          </cell>
          <cell r="BW35" t="str">
            <v>Ceiling (High)</v>
          </cell>
          <cell r="BY35">
            <v>5000</v>
          </cell>
          <cell r="BZ35" t="str">
            <v>Ceiling (High)</v>
          </cell>
          <cell r="CA35">
            <v>50000</v>
          </cell>
          <cell r="CB35" t="str">
            <v>0.005%</v>
          </cell>
        </row>
        <row r="36">
          <cell r="A36" t="str">
            <v>CYANIDE</v>
          </cell>
          <cell r="B36" t="str">
            <v>57-12-5</v>
          </cell>
          <cell r="C36">
            <v>42922</v>
          </cell>
          <cell r="D36">
            <v>5.9999999999999995E-4</v>
          </cell>
          <cell r="E36">
            <v>1</v>
          </cell>
          <cell r="F36">
            <v>6.0000000000000001E-3</v>
          </cell>
          <cell r="G36" t="str">
            <v>1i</v>
          </cell>
          <cell r="H36">
            <v>8.0000000000000004E-4</v>
          </cell>
          <cell r="I36">
            <v>1</v>
          </cell>
          <cell r="J36">
            <v>3.0000000000000001E-3</v>
          </cell>
          <cell r="K36" t="str">
            <v>1k</v>
          </cell>
          <cell r="M36" t="str">
            <v>D</v>
          </cell>
          <cell r="N36">
            <v>1</v>
          </cell>
          <cell r="Q36">
            <v>1</v>
          </cell>
          <cell r="R36" t="str">
            <v>9e</v>
          </cell>
          <cell r="S36">
            <v>0.1</v>
          </cell>
          <cell r="T36" t="str">
            <v>9e</v>
          </cell>
          <cell r="U36">
            <v>1</v>
          </cell>
          <cell r="V36" t="str">
            <v>9e</v>
          </cell>
          <cell r="W36">
            <v>0.1</v>
          </cell>
          <cell r="X36" t="str">
            <v>9e</v>
          </cell>
          <cell r="Y36" t="str">
            <v>NC</v>
          </cell>
          <cell r="AA36" t="str">
            <v>NC</v>
          </cell>
          <cell r="AC36">
            <v>1</v>
          </cell>
          <cell r="AD36">
            <v>9</v>
          </cell>
          <cell r="AE36">
            <v>1</v>
          </cell>
          <cell r="AF36">
            <v>9</v>
          </cell>
          <cell r="AK36">
            <v>1</v>
          </cell>
          <cell r="AL36" t="str">
            <v>NC</v>
          </cell>
          <cell r="AO36">
            <v>0</v>
          </cell>
          <cell r="AR36">
            <v>170</v>
          </cell>
          <cell r="AS36">
            <v>13</v>
          </cell>
          <cell r="AT36">
            <v>652</v>
          </cell>
          <cell r="AU36">
            <v>0.5904531813865147</v>
          </cell>
          <cell r="AV36">
            <v>13</v>
          </cell>
          <cell r="AW36">
            <v>1050.0409169514555</v>
          </cell>
          <cell r="AX36">
            <v>1</v>
          </cell>
          <cell r="AY36">
            <v>0.1</v>
          </cell>
          <cell r="AZ36">
            <v>95400000</v>
          </cell>
          <cell r="BA36">
            <v>22</v>
          </cell>
          <cell r="BB36">
            <v>2.4199999999999999E-2</v>
          </cell>
          <cell r="BC36">
            <v>22</v>
          </cell>
          <cell r="BD36">
            <v>0.99034211818628248</v>
          </cell>
          <cell r="BE36">
            <v>27</v>
          </cell>
          <cell r="BF36">
            <v>13</v>
          </cell>
          <cell r="BG36">
            <v>620</v>
          </cell>
          <cell r="BH36">
            <v>-0.69</v>
          </cell>
          <cell r="BJ36">
            <v>0</v>
          </cell>
          <cell r="BO36">
            <v>1E-3</v>
          </cell>
          <cell r="BS36">
            <v>100</v>
          </cell>
          <cell r="BT36" t="str">
            <v>Ceiling (Low)</v>
          </cell>
          <cell r="BV36">
            <v>500</v>
          </cell>
          <cell r="BW36" t="str">
            <v>Ceiling (Low)</v>
          </cell>
          <cell r="BY36">
            <v>1000</v>
          </cell>
          <cell r="BZ36" t="str">
            <v>Ceiling (Low)</v>
          </cell>
          <cell r="CA36">
            <v>50000</v>
          </cell>
          <cell r="CB36" t="str">
            <v>0.005%</v>
          </cell>
          <cell r="CC36" t="str">
            <v>Y</v>
          </cell>
        </row>
        <row r="37">
          <cell r="A37" t="str">
            <v>DIBENZO(a,h)ANTHRACENE</v>
          </cell>
          <cell r="B37" t="str">
            <v xml:space="preserve">53-70-3 </v>
          </cell>
          <cell r="C37">
            <v>42922</v>
          </cell>
          <cell r="D37">
            <v>0.03</v>
          </cell>
          <cell r="E37" t="str">
            <v>5d</v>
          </cell>
          <cell r="F37">
            <v>0.3</v>
          </cell>
          <cell r="G37" t="str">
            <v>5d</v>
          </cell>
          <cell r="H37">
            <v>0.05</v>
          </cell>
          <cell r="I37" t="str">
            <v>5d</v>
          </cell>
          <cell r="J37">
            <v>0.5</v>
          </cell>
          <cell r="K37" t="str">
            <v>5d</v>
          </cell>
          <cell r="L37">
            <v>1</v>
          </cell>
          <cell r="M37" t="str">
            <v>B2</v>
          </cell>
          <cell r="N37" t="str">
            <v>1e</v>
          </cell>
          <cell r="O37">
            <v>5.9999999999999995E-4</v>
          </cell>
          <cell r="P37" t="str">
            <v>1e</v>
          </cell>
          <cell r="Q37">
            <v>0.3</v>
          </cell>
          <cell r="R37" t="str">
            <v>9d</v>
          </cell>
          <cell r="S37">
            <v>0.02</v>
          </cell>
          <cell r="T37" t="str">
            <v>9d</v>
          </cell>
          <cell r="U37">
            <v>0.3</v>
          </cell>
          <cell r="V37" t="str">
            <v>9d</v>
          </cell>
          <cell r="W37">
            <v>0.02</v>
          </cell>
          <cell r="X37" t="str">
            <v>9d</v>
          </cell>
          <cell r="Y37">
            <v>0.3</v>
          </cell>
          <cell r="Z37" t="str">
            <v>9d</v>
          </cell>
          <cell r="AA37">
            <v>0.02</v>
          </cell>
          <cell r="AB37" t="str">
            <v>9d</v>
          </cell>
          <cell r="AC37">
            <v>1</v>
          </cell>
          <cell r="AD37">
            <v>9</v>
          </cell>
          <cell r="AE37">
            <v>1</v>
          </cell>
          <cell r="AF37">
            <v>9</v>
          </cell>
          <cell r="AG37">
            <v>1</v>
          </cell>
          <cell r="AH37">
            <v>9</v>
          </cell>
          <cell r="AI37">
            <v>1</v>
          </cell>
          <cell r="AJ37" t="str">
            <v>M</v>
          </cell>
          <cell r="AK37">
            <v>0.92</v>
          </cell>
          <cell r="AL37">
            <v>0.92</v>
          </cell>
          <cell r="AM37">
            <v>0.5</v>
          </cell>
          <cell r="AO37">
            <v>0</v>
          </cell>
          <cell r="AU37">
            <v>0</v>
          </cell>
          <cell r="AW37">
            <v>0</v>
          </cell>
          <cell r="AX37">
            <v>0.66</v>
          </cell>
          <cell r="AY37">
            <v>0.5</v>
          </cell>
          <cell r="AZ37">
            <v>2.4900000000000002</v>
          </cell>
          <cell r="BA37">
            <v>22</v>
          </cell>
          <cell r="BB37">
            <v>1.23E-7</v>
          </cell>
          <cell r="BC37">
            <v>22</v>
          </cell>
          <cell r="BD37">
            <v>5.0335570469798661E-6</v>
          </cell>
          <cell r="BE37">
            <v>278</v>
          </cell>
          <cell r="BF37">
            <v>13</v>
          </cell>
          <cell r="BG37">
            <v>1E-10</v>
          </cell>
          <cell r="BH37">
            <v>6.75</v>
          </cell>
          <cell r="BI37">
            <v>16</v>
          </cell>
          <cell r="BJ37">
            <v>1790000</v>
          </cell>
          <cell r="BK37" t="str">
            <v>17a</v>
          </cell>
          <cell r="BL37">
            <v>269.5</v>
          </cell>
          <cell r="BM37">
            <v>17</v>
          </cell>
          <cell r="BO37">
            <v>1.253718400680121</v>
          </cell>
          <cell r="BS37">
            <v>1000</v>
          </cell>
          <cell r="BT37" t="str">
            <v>Ceiling (High)</v>
          </cell>
          <cell r="BV37">
            <v>3000</v>
          </cell>
          <cell r="BW37" t="str">
            <v>Ceiling (High)</v>
          </cell>
          <cell r="BY37">
            <v>5000</v>
          </cell>
          <cell r="BZ37" t="str">
            <v>Ceiling (High)</v>
          </cell>
          <cell r="CA37">
            <v>50000</v>
          </cell>
          <cell r="CB37" t="str">
            <v>0.005%</v>
          </cell>
        </row>
        <row r="38">
          <cell r="A38" t="str">
            <v>DIBROMOCHLOROMETHANE</v>
          </cell>
          <cell r="B38" t="str">
            <v>124-48-1</v>
          </cell>
          <cell r="C38">
            <v>42922</v>
          </cell>
          <cell r="D38">
            <v>0.02</v>
          </cell>
          <cell r="E38">
            <v>1</v>
          </cell>
          <cell r="F38">
            <v>7.0000000000000007E-2</v>
          </cell>
          <cell r="G38">
            <v>6</v>
          </cell>
          <cell r="H38">
            <v>7.0000000000000007E-2</v>
          </cell>
          <cell r="I38" t="str">
            <v>7b</v>
          </cell>
          <cell r="J38">
            <v>0.2</v>
          </cell>
          <cell r="K38" t="str">
            <v>7b</v>
          </cell>
          <cell r="L38">
            <v>8.4000000000000005E-2</v>
          </cell>
          <cell r="M38" t="str">
            <v>C</v>
          </cell>
          <cell r="N38">
            <v>1</v>
          </cell>
          <cell r="O38">
            <v>2.4000000000000001E-5</v>
          </cell>
          <cell r="P38" t="str">
            <v>7a</v>
          </cell>
          <cell r="Q38">
            <v>1</v>
          </cell>
          <cell r="R38" t="str">
            <v>9e</v>
          </cell>
          <cell r="S38">
            <v>0.03</v>
          </cell>
          <cell r="T38" t="str">
            <v>9e</v>
          </cell>
          <cell r="U38">
            <v>1</v>
          </cell>
          <cell r="V38" t="str">
            <v>9e</v>
          </cell>
          <cell r="W38">
            <v>0.03</v>
          </cell>
          <cell r="X38" t="str">
            <v>9e</v>
          </cell>
          <cell r="Y38">
            <v>1</v>
          </cell>
          <cell r="Z38" t="str">
            <v>9e</v>
          </cell>
          <cell r="AA38">
            <v>0.03</v>
          </cell>
          <cell r="AB38" t="str">
            <v>9e</v>
          </cell>
          <cell r="AC38">
            <v>1</v>
          </cell>
          <cell r="AD38">
            <v>9</v>
          </cell>
          <cell r="AE38">
            <v>1</v>
          </cell>
          <cell r="AF38">
            <v>9</v>
          </cell>
          <cell r="AG38">
            <v>1</v>
          </cell>
          <cell r="AH38">
            <v>9</v>
          </cell>
          <cell r="AK38">
            <v>0.98</v>
          </cell>
          <cell r="AL38">
            <v>0.98</v>
          </cell>
          <cell r="AO38">
            <v>0</v>
          </cell>
          <cell r="AU38">
            <v>0</v>
          </cell>
          <cell r="AW38">
            <v>0</v>
          </cell>
          <cell r="AX38">
            <v>5.0000000000000001E-3</v>
          </cell>
          <cell r="AY38">
            <v>2</v>
          </cell>
          <cell r="AZ38">
            <v>2700000</v>
          </cell>
          <cell r="BA38">
            <v>22</v>
          </cell>
          <cell r="BB38">
            <v>7.8299999999999995E-4</v>
          </cell>
          <cell r="BC38">
            <v>22</v>
          </cell>
          <cell r="BD38">
            <v>3.2042887542969391E-2</v>
          </cell>
          <cell r="BE38">
            <v>208</v>
          </cell>
          <cell r="BF38">
            <v>13</v>
          </cell>
          <cell r="BG38">
            <v>76</v>
          </cell>
          <cell r="BH38">
            <v>2.16</v>
          </cell>
          <cell r="BI38">
            <v>17</v>
          </cell>
          <cell r="BJ38">
            <v>63.1</v>
          </cell>
          <cell r="BK38" t="str">
            <v>17b</v>
          </cell>
          <cell r="BL38">
            <v>-20</v>
          </cell>
          <cell r="BM38">
            <v>17</v>
          </cell>
          <cell r="BO38">
            <v>2.8893489815590818E-3</v>
          </cell>
          <cell r="BS38">
            <v>100</v>
          </cell>
          <cell r="BT38" t="str">
            <v>Ceiling (Low)</v>
          </cell>
          <cell r="BV38">
            <v>500</v>
          </cell>
          <cell r="BW38" t="str">
            <v>Ceiling (Low)</v>
          </cell>
          <cell r="BY38">
            <v>500</v>
          </cell>
          <cell r="BZ38" t="str">
            <v>High Volatility</v>
          </cell>
          <cell r="CA38">
            <v>50000</v>
          </cell>
          <cell r="CB38" t="str">
            <v>0.005%</v>
          </cell>
        </row>
        <row r="39">
          <cell r="A39" t="str">
            <v>DICHLOROBENZENE, 1,2-  (o-DCB)</v>
          </cell>
          <cell r="B39" t="str">
            <v>95-50-1</v>
          </cell>
          <cell r="C39">
            <v>42923</v>
          </cell>
          <cell r="D39">
            <v>0.09</v>
          </cell>
          <cell r="E39">
            <v>1</v>
          </cell>
          <cell r="F39">
            <v>0.9</v>
          </cell>
          <cell r="G39" t="str">
            <v>2d</v>
          </cell>
          <cell r="H39">
            <v>0.8</v>
          </cell>
          <cell r="I39" t="str">
            <v>1m</v>
          </cell>
          <cell r="J39">
            <v>2.4</v>
          </cell>
          <cell r="K39" t="str">
            <v>1m</v>
          </cell>
          <cell r="M39" t="str">
            <v>D</v>
          </cell>
          <cell r="N39">
            <v>1</v>
          </cell>
          <cell r="Q39">
            <v>1</v>
          </cell>
          <cell r="R39" t="str">
            <v>9e</v>
          </cell>
          <cell r="S39">
            <v>0.03</v>
          </cell>
          <cell r="T39" t="str">
            <v>9e</v>
          </cell>
          <cell r="U39">
            <v>1</v>
          </cell>
          <cell r="V39" t="str">
            <v>9e</v>
          </cell>
          <cell r="W39">
            <v>0.03</v>
          </cell>
          <cell r="X39" t="str">
            <v>9e</v>
          </cell>
          <cell r="Y39" t="str">
            <v>NC</v>
          </cell>
          <cell r="AA39" t="str">
            <v>NC</v>
          </cell>
          <cell r="AC39">
            <v>1</v>
          </cell>
          <cell r="AD39">
            <v>9</v>
          </cell>
          <cell r="AE39">
            <v>1</v>
          </cell>
          <cell r="AF39">
            <v>9</v>
          </cell>
          <cell r="AK39">
            <v>1</v>
          </cell>
          <cell r="AL39" t="str">
            <v>NC</v>
          </cell>
          <cell r="AO39">
            <v>0.72</v>
          </cell>
          <cell r="AQ39">
            <v>0.6359999999999999</v>
          </cell>
          <cell r="AR39">
            <v>10</v>
          </cell>
          <cell r="AS39">
            <v>24</v>
          </cell>
          <cell r="AT39">
            <v>305000</v>
          </cell>
          <cell r="AU39">
            <v>50.732251875109014</v>
          </cell>
          <cell r="AV39">
            <v>24</v>
          </cell>
          <cell r="AW39">
            <v>2.9566990317966776E-2</v>
          </cell>
          <cell r="AX39">
            <v>0.66</v>
          </cell>
          <cell r="AY39">
            <v>5</v>
          </cell>
          <cell r="AZ39">
            <v>156000</v>
          </cell>
          <cell r="BA39">
            <v>22</v>
          </cell>
          <cell r="BB39">
            <v>1.92E-3</v>
          </cell>
          <cell r="BC39">
            <v>22</v>
          </cell>
          <cell r="BD39">
            <v>7.8572597806514988E-2</v>
          </cell>
          <cell r="BE39">
            <v>147</v>
          </cell>
          <cell r="BF39">
            <v>11</v>
          </cell>
          <cell r="BG39">
            <v>1.5</v>
          </cell>
          <cell r="BH39">
            <v>3.43</v>
          </cell>
          <cell r="BI39">
            <v>16</v>
          </cell>
          <cell r="BJ39">
            <v>379</v>
          </cell>
          <cell r="BK39" t="str">
            <v>17a</v>
          </cell>
          <cell r="BL39">
            <v>-16.7</v>
          </cell>
          <cell r="BM39">
            <v>17</v>
          </cell>
          <cell r="BO39">
            <v>4.3711931792622442E-2</v>
          </cell>
          <cell r="BS39">
            <v>1000</v>
          </cell>
          <cell r="BT39" t="str">
            <v>Ceiling (High)</v>
          </cell>
          <cell r="BV39">
            <v>3000</v>
          </cell>
          <cell r="BW39" t="str">
            <v>Ceiling (High)</v>
          </cell>
          <cell r="BY39">
            <v>5000</v>
          </cell>
          <cell r="BZ39" t="str">
            <v>Ceiling (High)</v>
          </cell>
          <cell r="CA39">
            <v>50000</v>
          </cell>
          <cell r="CB39" t="str">
            <v>0.005%</v>
          </cell>
        </row>
        <row r="40">
          <cell r="A40" t="str">
            <v>DICHLOROBENZENE, 1,3-  (m-DCB)</v>
          </cell>
          <cell r="B40" t="str">
            <v>541-73-1</v>
          </cell>
          <cell r="C40">
            <v>42923</v>
          </cell>
          <cell r="D40">
            <v>0.09</v>
          </cell>
          <cell r="E40" t="str">
            <v>1b</v>
          </cell>
          <cell r="F40">
            <v>0.9</v>
          </cell>
          <cell r="G40" t="str">
            <v>2a</v>
          </cell>
          <cell r="H40">
            <v>0.8</v>
          </cell>
          <cell r="I40" t="str">
            <v>1m</v>
          </cell>
          <cell r="J40">
            <v>2.4</v>
          </cell>
          <cell r="K40" t="str">
            <v>1m</v>
          </cell>
          <cell r="M40" t="str">
            <v>D</v>
          </cell>
          <cell r="N40">
            <v>1</v>
          </cell>
          <cell r="Q40">
            <v>1</v>
          </cell>
          <cell r="R40" t="str">
            <v>9e</v>
          </cell>
          <cell r="S40">
            <v>0.03</v>
          </cell>
          <cell r="T40" t="str">
            <v>9e</v>
          </cell>
          <cell r="U40">
            <v>1</v>
          </cell>
          <cell r="V40" t="str">
            <v>9e</v>
          </cell>
          <cell r="W40">
            <v>0.03</v>
          </cell>
          <cell r="X40" t="str">
            <v>9e</v>
          </cell>
          <cell r="Y40" t="str">
            <v>NC</v>
          </cell>
          <cell r="AA40" t="str">
            <v>NC</v>
          </cell>
          <cell r="AC40">
            <v>1</v>
          </cell>
          <cell r="AD40">
            <v>9</v>
          </cell>
          <cell r="AE40">
            <v>1</v>
          </cell>
          <cell r="AF40">
            <v>9</v>
          </cell>
          <cell r="AK40">
            <v>1</v>
          </cell>
          <cell r="AL40" t="str">
            <v>NC</v>
          </cell>
          <cell r="AO40">
            <v>0.6</v>
          </cell>
          <cell r="AP40">
            <v>5</v>
          </cell>
          <cell r="AQ40">
            <v>0.93200000000000005</v>
          </cell>
          <cell r="AU40">
            <v>0</v>
          </cell>
          <cell r="AW40">
            <v>0</v>
          </cell>
          <cell r="AX40">
            <v>0.66</v>
          </cell>
          <cell r="AY40">
            <v>0.6</v>
          </cell>
          <cell r="AZ40">
            <v>125000</v>
          </cell>
          <cell r="BA40">
            <v>22</v>
          </cell>
          <cell r="BB40">
            <v>2.63E-3</v>
          </cell>
          <cell r="BC40">
            <v>22</v>
          </cell>
          <cell r="BD40">
            <v>0.10762808970371583</v>
          </cell>
          <cell r="BE40">
            <v>147</v>
          </cell>
          <cell r="BF40">
            <v>11</v>
          </cell>
          <cell r="BG40">
            <v>1.5</v>
          </cell>
          <cell r="BH40">
            <v>3.53</v>
          </cell>
          <cell r="BI40">
            <v>16</v>
          </cell>
          <cell r="BJ40">
            <v>1700</v>
          </cell>
          <cell r="BK40">
            <v>11</v>
          </cell>
          <cell r="BO40">
            <v>5.0886197595607759E-2</v>
          </cell>
          <cell r="BS40">
            <v>100</v>
          </cell>
          <cell r="BT40" t="str">
            <v>Ceiling (Low)</v>
          </cell>
          <cell r="BV40">
            <v>500</v>
          </cell>
          <cell r="BW40" t="str">
            <v>Ceiling (Low)</v>
          </cell>
          <cell r="BY40">
            <v>500</v>
          </cell>
          <cell r="BZ40" t="str">
            <v>High Volatility</v>
          </cell>
          <cell r="CA40">
            <v>50000</v>
          </cell>
          <cell r="CB40" t="str">
            <v>0.005%</v>
          </cell>
        </row>
        <row r="41">
          <cell r="A41" t="str">
            <v>DICHLOROBENZENE, 1,4-  (p-DCB)</v>
          </cell>
          <cell r="B41" t="str">
            <v>106-46-7</v>
          </cell>
          <cell r="C41">
            <v>42923</v>
          </cell>
          <cell r="D41">
            <v>0.09</v>
          </cell>
          <cell r="E41" t="str">
            <v>1b</v>
          </cell>
          <cell r="F41">
            <v>0.9</v>
          </cell>
          <cell r="G41" t="str">
            <v>2a</v>
          </cell>
          <cell r="H41">
            <v>0.8</v>
          </cell>
          <cell r="I41">
            <v>1</v>
          </cell>
          <cell r="J41">
            <v>2.4</v>
          </cell>
          <cell r="K41" t="str">
            <v>1k</v>
          </cell>
          <cell r="L41">
            <v>2.4E-2</v>
          </cell>
          <cell r="M41" t="str">
            <v>C</v>
          </cell>
          <cell r="N41">
            <v>2</v>
          </cell>
          <cell r="O41">
            <v>6.8571428571428571E-6</v>
          </cell>
          <cell r="P41" t="str">
            <v>7a</v>
          </cell>
          <cell r="Q41">
            <v>1</v>
          </cell>
          <cell r="R41" t="str">
            <v>9e</v>
          </cell>
          <cell r="S41">
            <v>0.03</v>
          </cell>
          <cell r="T41" t="str">
            <v>9e</v>
          </cell>
          <cell r="U41">
            <v>1</v>
          </cell>
          <cell r="V41" t="str">
            <v>9e</v>
          </cell>
          <cell r="W41">
            <v>0.03</v>
          </cell>
          <cell r="X41" t="str">
            <v>9e</v>
          </cell>
          <cell r="Y41">
            <v>1</v>
          </cell>
          <cell r="Z41" t="str">
            <v>9e</v>
          </cell>
          <cell r="AA41">
            <v>0.03</v>
          </cell>
          <cell r="AB41" t="str">
            <v>9e</v>
          </cell>
          <cell r="AC41">
            <v>1</v>
          </cell>
          <cell r="AD41">
            <v>9</v>
          </cell>
          <cell r="AE41">
            <v>1</v>
          </cell>
          <cell r="AF41">
            <v>9</v>
          </cell>
          <cell r="AG41">
            <v>1</v>
          </cell>
          <cell r="AH41">
            <v>9</v>
          </cell>
          <cell r="AK41">
            <v>1</v>
          </cell>
          <cell r="AL41">
            <v>1</v>
          </cell>
          <cell r="AO41">
            <v>1.5</v>
          </cell>
          <cell r="AP41">
            <v>20</v>
          </cell>
          <cell r="AQ41">
            <v>0.93200000000000005</v>
          </cell>
          <cell r="AR41">
            <v>11</v>
          </cell>
          <cell r="AS41">
            <v>13</v>
          </cell>
          <cell r="AT41">
            <v>1100</v>
          </cell>
          <cell r="AU41">
            <v>0.18296877725449154</v>
          </cell>
          <cell r="AV41">
            <v>13</v>
          </cell>
          <cell r="AW41">
            <v>9.8377440512507626</v>
          </cell>
          <cell r="AX41">
            <v>0.66</v>
          </cell>
          <cell r="AY41">
            <v>0.2</v>
          </cell>
          <cell r="AZ41">
            <v>81300</v>
          </cell>
          <cell r="BA41">
            <v>22</v>
          </cell>
          <cell r="BB41">
            <v>2.4099999999999998E-3</v>
          </cell>
          <cell r="BC41">
            <v>22</v>
          </cell>
          <cell r="BD41">
            <v>9.8624979538385976E-2</v>
          </cell>
          <cell r="BE41">
            <v>147</v>
          </cell>
          <cell r="BF41">
            <v>13</v>
          </cell>
          <cell r="BG41">
            <v>1.8</v>
          </cell>
          <cell r="BH41">
            <v>3.44</v>
          </cell>
          <cell r="BI41">
            <v>16</v>
          </cell>
          <cell r="BJ41">
            <v>616</v>
          </cell>
          <cell r="BK41" t="str">
            <v>17a</v>
          </cell>
          <cell r="BL41">
            <v>52.7</v>
          </cell>
          <cell r="BM41">
            <v>17</v>
          </cell>
          <cell r="BO41">
            <v>4.4381298030813886E-2</v>
          </cell>
          <cell r="BS41">
            <v>500</v>
          </cell>
          <cell r="BT41" t="str">
            <v>Ceiling (Medium)</v>
          </cell>
          <cell r="BV41">
            <v>1000</v>
          </cell>
          <cell r="BW41" t="str">
            <v>Ceiling (Medium)</v>
          </cell>
          <cell r="BY41">
            <v>3000</v>
          </cell>
          <cell r="BZ41" t="str">
            <v>Ceiling (Medium)</v>
          </cell>
          <cell r="CA41">
            <v>50000</v>
          </cell>
          <cell r="CB41" t="str">
            <v>0.005%</v>
          </cell>
        </row>
        <row r="42">
          <cell r="A42" t="str">
            <v>DICHLOROBENZIDINE, 3,3'-</v>
          </cell>
          <cell r="B42" t="str">
            <v>91-94-1</v>
          </cell>
          <cell r="C42">
            <v>42922</v>
          </cell>
          <cell r="L42">
            <v>0.45</v>
          </cell>
          <cell r="M42" t="str">
            <v>B2</v>
          </cell>
          <cell r="N42">
            <v>1</v>
          </cell>
          <cell r="O42">
            <v>1.2857142857142858E-4</v>
          </cell>
          <cell r="P42" t="str">
            <v>7a</v>
          </cell>
          <cell r="Q42">
            <v>1</v>
          </cell>
          <cell r="R42" t="str">
            <v>9e</v>
          </cell>
          <cell r="S42">
            <v>0.1</v>
          </cell>
          <cell r="T42" t="str">
            <v>9e</v>
          </cell>
          <cell r="U42">
            <v>1</v>
          </cell>
          <cell r="V42" t="str">
            <v>9e</v>
          </cell>
          <cell r="W42">
            <v>0.1</v>
          </cell>
          <cell r="X42" t="str">
            <v>9e</v>
          </cell>
          <cell r="Y42">
            <v>1</v>
          </cell>
          <cell r="Z42" t="str">
            <v>9e</v>
          </cell>
          <cell r="AA42">
            <v>0.1</v>
          </cell>
          <cell r="AB42" t="str">
            <v>9e</v>
          </cell>
          <cell r="AE42">
            <v>1</v>
          </cell>
          <cell r="AF42">
            <v>9</v>
          </cell>
          <cell r="AG42">
            <v>1</v>
          </cell>
          <cell r="AH42">
            <v>9</v>
          </cell>
          <cell r="AK42">
            <v>0.9</v>
          </cell>
          <cell r="AL42">
            <v>0.9</v>
          </cell>
          <cell r="AO42">
            <v>0</v>
          </cell>
          <cell r="AU42">
            <v>0</v>
          </cell>
          <cell r="AW42">
            <v>0</v>
          </cell>
          <cell r="AX42">
            <v>1.3</v>
          </cell>
          <cell r="AY42">
            <v>82.5</v>
          </cell>
          <cell r="AZ42">
            <v>3100</v>
          </cell>
          <cell r="BA42">
            <v>22</v>
          </cell>
          <cell r="BB42">
            <v>2.84E-11</v>
          </cell>
          <cell r="BC42">
            <v>22</v>
          </cell>
          <cell r="BD42">
            <v>1.1622196758880341E-9</v>
          </cell>
          <cell r="BE42">
            <v>253</v>
          </cell>
          <cell r="BF42">
            <v>11</v>
          </cell>
          <cell r="BG42">
            <v>4.4999999999999998E-9</v>
          </cell>
          <cell r="BH42">
            <v>3.51</v>
          </cell>
          <cell r="BI42">
            <v>16</v>
          </cell>
          <cell r="BJ42">
            <v>724</v>
          </cell>
          <cell r="BK42" t="str">
            <v>17b</v>
          </cell>
          <cell r="BL42">
            <v>132.5</v>
          </cell>
          <cell r="BM42">
            <v>17</v>
          </cell>
          <cell r="BO42">
            <v>1.2583457886902842E-2</v>
          </cell>
          <cell r="BS42">
            <v>1000</v>
          </cell>
          <cell r="BT42" t="str">
            <v>Ceiling (High)</v>
          </cell>
          <cell r="BV42">
            <v>3000</v>
          </cell>
          <cell r="BW42" t="str">
            <v>Ceiling (High)</v>
          </cell>
          <cell r="BY42">
            <v>5000</v>
          </cell>
          <cell r="BZ42" t="str">
            <v>Ceiling (High)</v>
          </cell>
          <cell r="CA42">
            <v>50000</v>
          </cell>
          <cell r="CB42" t="str">
            <v>0.005%</v>
          </cell>
        </row>
        <row r="43">
          <cell r="A43" t="str">
            <v>DICHLORODIPHENYL DICHLOROETHANE, P,P'- (DDD)</v>
          </cell>
          <cell r="B43" t="str">
            <v>72-54-8</v>
          </cell>
          <cell r="C43">
            <v>42923</v>
          </cell>
          <cell r="D43">
            <v>5.0000000000000001E-4</v>
          </cell>
          <cell r="E43" t="str">
            <v>1g</v>
          </cell>
          <cell r="F43">
            <v>5.0000000000000001E-4</v>
          </cell>
          <cell r="G43" t="str">
            <v>2g</v>
          </cell>
          <cell r="H43">
            <v>1.8E-3</v>
          </cell>
          <cell r="I43" t="str">
            <v>7b</v>
          </cell>
          <cell r="J43">
            <v>1.8E-3</v>
          </cell>
          <cell r="K43" t="str">
            <v>7c</v>
          </cell>
          <cell r="L43">
            <v>0.24</v>
          </cell>
          <cell r="M43" t="str">
            <v>B2</v>
          </cell>
          <cell r="N43">
            <v>1</v>
          </cell>
          <cell r="O43">
            <v>6.8571428571428567E-5</v>
          </cell>
          <cell r="P43" t="str">
            <v>7a</v>
          </cell>
          <cell r="Q43">
            <v>1</v>
          </cell>
          <cell r="R43" t="str">
            <v>9e</v>
          </cell>
          <cell r="S43">
            <v>0.03</v>
          </cell>
          <cell r="T43" t="str">
            <v>9e</v>
          </cell>
          <cell r="U43">
            <v>1</v>
          </cell>
          <cell r="V43" t="str">
            <v>9e</v>
          </cell>
          <cell r="W43">
            <v>0.03</v>
          </cell>
          <cell r="X43" t="str">
            <v>9e</v>
          </cell>
          <cell r="Y43">
            <v>1</v>
          </cell>
          <cell r="Z43" t="str">
            <v>9e</v>
          </cell>
          <cell r="AA43">
            <v>0.03</v>
          </cell>
          <cell r="AB43" t="str">
            <v>9e</v>
          </cell>
          <cell r="AC43">
            <v>1</v>
          </cell>
          <cell r="AD43">
            <v>9</v>
          </cell>
          <cell r="AE43">
            <v>1</v>
          </cell>
          <cell r="AF43">
            <v>9</v>
          </cell>
          <cell r="AG43">
            <v>1</v>
          </cell>
          <cell r="AH43">
            <v>9</v>
          </cell>
          <cell r="AK43">
            <v>0.9</v>
          </cell>
          <cell r="AL43">
            <v>0.6</v>
          </cell>
          <cell r="AO43">
            <v>0</v>
          </cell>
          <cell r="AU43">
            <v>0</v>
          </cell>
          <cell r="AW43">
            <v>0</v>
          </cell>
          <cell r="AX43">
            <v>7.3699999999999998E-3</v>
          </cell>
          <cell r="AY43">
            <v>1.2500000000000001E-2</v>
          </cell>
          <cell r="AZ43">
            <v>90</v>
          </cell>
          <cell r="BA43">
            <v>22</v>
          </cell>
          <cell r="BB43">
            <v>6.6000000000000003E-6</v>
          </cell>
          <cell r="BC43">
            <v>22</v>
          </cell>
          <cell r="BD43">
            <v>2.7009330495989523E-4</v>
          </cell>
          <cell r="BE43">
            <v>320</v>
          </cell>
          <cell r="BF43">
            <v>13</v>
          </cell>
          <cell r="BG43">
            <v>9.9999999999999995E-7</v>
          </cell>
          <cell r="BH43">
            <v>6.02</v>
          </cell>
          <cell r="BI43">
            <v>16</v>
          </cell>
          <cell r="BJ43">
            <v>45800</v>
          </cell>
          <cell r="BK43" t="str">
            <v>17a</v>
          </cell>
          <cell r="BL43">
            <v>109.5</v>
          </cell>
          <cell r="BM43">
            <v>17</v>
          </cell>
          <cell r="BO43">
            <v>0.24054703049880952</v>
          </cell>
          <cell r="BS43">
            <v>1000</v>
          </cell>
          <cell r="BT43" t="str">
            <v>Ceiling (High)</v>
          </cell>
          <cell r="BV43">
            <v>3000</v>
          </cell>
          <cell r="BW43" t="str">
            <v>Ceiling (High)</v>
          </cell>
          <cell r="BY43">
            <v>5000</v>
          </cell>
          <cell r="BZ43" t="str">
            <v>Ceiling (High)</v>
          </cell>
          <cell r="CA43">
            <v>50000</v>
          </cell>
          <cell r="CB43" t="str">
            <v>0.005%</v>
          </cell>
        </row>
        <row r="44">
          <cell r="A44" t="str">
            <v>DICHLORODIPHENYLDICHLOROETHYLENE,P,P'- (DDE)</v>
          </cell>
          <cell r="B44" t="str">
            <v>72-55-9</v>
          </cell>
          <cell r="C44">
            <v>42923</v>
          </cell>
          <cell r="D44">
            <v>5.0000000000000001E-4</v>
          </cell>
          <cell r="E44" t="str">
            <v>1g</v>
          </cell>
          <cell r="F44">
            <v>5.0000000000000001E-4</v>
          </cell>
          <cell r="G44" t="str">
            <v>2g</v>
          </cell>
          <cell r="H44">
            <v>1.8E-3</v>
          </cell>
          <cell r="I44" t="str">
            <v>7b</v>
          </cell>
          <cell r="J44">
            <v>1.8E-3</v>
          </cell>
          <cell r="K44" t="str">
            <v>7c</v>
          </cell>
          <cell r="L44">
            <v>0.34</v>
          </cell>
          <cell r="M44" t="str">
            <v>B2</v>
          </cell>
          <cell r="N44">
            <v>1</v>
          </cell>
          <cell r="O44">
            <v>9.7142857142857165E-5</v>
          </cell>
          <cell r="P44" t="str">
            <v>7a</v>
          </cell>
          <cell r="Q44">
            <v>1</v>
          </cell>
          <cell r="R44" t="str">
            <v>9e</v>
          </cell>
          <cell r="S44">
            <v>0.03</v>
          </cell>
          <cell r="T44" t="str">
            <v>9e</v>
          </cell>
          <cell r="U44">
            <v>1</v>
          </cell>
          <cell r="V44" t="str">
            <v>9e</v>
          </cell>
          <cell r="W44">
            <v>0.03</v>
          </cell>
          <cell r="X44" t="str">
            <v>9e</v>
          </cell>
          <cell r="Y44">
            <v>1</v>
          </cell>
          <cell r="Z44" t="str">
            <v>9e</v>
          </cell>
          <cell r="AA44">
            <v>0.03</v>
          </cell>
          <cell r="AB44" t="str">
            <v>9e</v>
          </cell>
          <cell r="AC44">
            <v>1</v>
          </cell>
          <cell r="AD44">
            <v>9</v>
          </cell>
          <cell r="AE44">
            <v>1</v>
          </cell>
          <cell r="AF44">
            <v>9</v>
          </cell>
          <cell r="AG44">
            <v>1</v>
          </cell>
          <cell r="AH44">
            <v>9</v>
          </cell>
          <cell r="AK44">
            <v>0.9</v>
          </cell>
          <cell r="AL44">
            <v>0.6</v>
          </cell>
          <cell r="AO44">
            <v>0</v>
          </cell>
          <cell r="AU44">
            <v>0</v>
          </cell>
          <cell r="AW44">
            <v>0</v>
          </cell>
          <cell r="AX44">
            <v>2.6800000000000001E-3</v>
          </cell>
          <cell r="AY44">
            <v>0.05</v>
          </cell>
          <cell r="AZ44">
            <v>40</v>
          </cell>
          <cell r="BA44">
            <v>22</v>
          </cell>
          <cell r="BB44">
            <v>4.1600000000000002E-5</v>
          </cell>
          <cell r="BC44">
            <v>22</v>
          </cell>
          <cell r="BD44">
            <v>1.7024062858078247E-3</v>
          </cell>
          <cell r="BE44">
            <v>318</v>
          </cell>
          <cell r="BF44">
            <v>13</v>
          </cell>
          <cell r="BG44">
            <v>6.4999999999999996E-6</v>
          </cell>
          <cell r="BH44">
            <v>6.51</v>
          </cell>
          <cell r="BI44">
            <v>16</v>
          </cell>
          <cell r="BJ44">
            <v>86400</v>
          </cell>
          <cell r="BK44" t="str">
            <v>17a</v>
          </cell>
          <cell r="BL44">
            <v>89</v>
          </cell>
          <cell r="BM44">
            <v>17</v>
          </cell>
          <cell r="BO44">
            <v>0.51975658465836161</v>
          </cell>
          <cell r="BS44">
            <v>1000</v>
          </cell>
          <cell r="BT44" t="str">
            <v>Ceiling (High)</v>
          </cell>
          <cell r="BV44">
            <v>3000</v>
          </cell>
          <cell r="BW44" t="str">
            <v>Ceiling (High)</v>
          </cell>
          <cell r="BY44">
            <v>5000</v>
          </cell>
          <cell r="BZ44" t="str">
            <v>Ceiling (High)</v>
          </cell>
          <cell r="CA44">
            <v>50000</v>
          </cell>
          <cell r="CB44" t="str">
            <v>0.005%</v>
          </cell>
        </row>
        <row r="45">
          <cell r="A45" t="str">
            <v>DICHLORODIPHENYLTRICHLOROETHANE, P,P'- (DDT)</v>
          </cell>
          <cell r="B45" t="str">
            <v>50-29-3</v>
          </cell>
          <cell r="C45">
            <v>42923</v>
          </cell>
          <cell r="D45">
            <v>5.0000000000000001E-4</v>
          </cell>
          <cell r="E45">
            <v>1</v>
          </cell>
          <cell r="F45">
            <v>5.0000000000000001E-4</v>
          </cell>
          <cell r="G45">
            <v>2</v>
          </cell>
          <cell r="H45">
            <v>1.8E-3</v>
          </cell>
          <cell r="I45" t="str">
            <v>7b</v>
          </cell>
          <cell r="J45">
            <v>1.8E-3</v>
          </cell>
          <cell r="K45" t="str">
            <v>7c</v>
          </cell>
          <cell r="L45">
            <v>0.34</v>
          </cell>
          <cell r="M45" t="str">
            <v>B2</v>
          </cell>
          <cell r="N45">
            <v>1</v>
          </cell>
          <cell r="O45">
            <v>9.7E-5</v>
          </cell>
          <cell r="P45">
            <v>1</v>
          </cell>
          <cell r="Q45">
            <v>1</v>
          </cell>
          <cell r="R45" t="str">
            <v>9e</v>
          </cell>
          <cell r="S45">
            <v>0.03</v>
          </cell>
          <cell r="T45" t="str">
            <v>9e</v>
          </cell>
          <cell r="U45">
            <v>1</v>
          </cell>
          <cell r="V45" t="str">
            <v>9e</v>
          </cell>
          <cell r="W45">
            <v>0.03</v>
          </cell>
          <cell r="X45" t="str">
            <v>9e</v>
          </cell>
          <cell r="Y45">
            <v>1</v>
          </cell>
          <cell r="Z45" t="str">
            <v>9e</v>
          </cell>
          <cell r="AA45">
            <v>0.03</v>
          </cell>
          <cell r="AB45" t="str">
            <v>9e</v>
          </cell>
          <cell r="AC45">
            <v>1</v>
          </cell>
          <cell r="AD45">
            <v>9</v>
          </cell>
          <cell r="AE45">
            <v>1</v>
          </cell>
          <cell r="AF45">
            <v>9</v>
          </cell>
          <cell r="AG45">
            <v>1</v>
          </cell>
          <cell r="AH45">
            <v>9</v>
          </cell>
          <cell r="AK45">
            <v>0.9</v>
          </cell>
          <cell r="AL45">
            <v>0.6</v>
          </cell>
          <cell r="AO45">
            <v>0</v>
          </cell>
          <cell r="AR45">
            <v>350</v>
          </cell>
          <cell r="AS45">
            <v>13</v>
          </cell>
          <cell r="AU45">
            <v>0</v>
          </cell>
          <cell r="AW45">
            <v>0</v>
          </cell>
          <cell r="AX45">
            <v>8.0399999999999985E-3</v>
          </cell>
          <cell r="AY45">
            <v>0.3</v>
          </cell>
          <cell r="AZ45">
            <v>5.5</v>
          </cell>
          <cell r="BA45">
            <v>22</v>
          </cell>
          <cell r="BB45">
            <v>8.32E-6</v>
          </cell>
          <cell r="BC45">
            <v>22</v>
          </cell>
          <cell r="BD45">
            <v>3.4048125716156489E-4</v>
          </cell>
          <cell r="BE45">
            <v>354</v>
          </cell>
          <cell r="BF45">
            <v>13</v>
          </cell>
          <cell r="BG45">
            <v>1.4999999999999999E-7</v>
          </cell>
          <cell r="BH45">
            <v>6.91</v>
          </cell>
          <cell r="BI45">
            <v>16</v>
          </cell>
          <cell r="BJ45">
            <v>618000</v>
          </cell>
          <cell r="BK45" t="str">
            <v>17a</v>
          </cell>
          <cell r="BL45">
            <v>108.5</v>
          </cell>
          <cell r="BM45">
            <v>17</v>
          </cell>
          <cell r="BO45">
            <v>0.6000673538641168</v>
          </cell>
          <cell r="BS45">
            <v>1000</v>
          </cell>
          <cell r="BT45" t="str">
            <v>Ceiling (High)</v>
          </cell>
          <cell r="BV45">
            <v>3000</v>
          </cell>
          <cell r="BW45" t="str">
            <v>Ceiling (High)</v>
          </cell>
          <cell r="BY45">
            <v>5000</v>
          </cell>
          <cell r="BZ45" t="str">
            <v>Ceiling (High)</v>
          </cell>
          <cell r="CA45">
            <v>50000</v>
          </cell>
          <cell r="CB45" t="str">
            <v>0.005%</v>
          </cell>
        </row>
        <row r="46">
          <cell r="A46" t="str">
            <v>DICHLOROETHANE, 1,1-</v>
          </cell>
          <cell r="B46" t="str">
            <v xml:space="preserve">75-34-3 </v>
          </cell>
          <cell r="C46">
            <v>42922</v>
          </cell>
          <cell r="D46">
            <v>0.2</v>
          </cell>
          <cell r="E46">
            <v>6</v>
          </cell>
          <cell r="F46">
            <v>2</v>
          </cell>
          <cell r="G46">
            <v>6</v>
          </cell>
          <cell r="H46">
            <v>0.8</v>
          </cell>
          <cell r="I46" t="str">
            <v>7b</v>
          </cell>
          <cell r="J46">
            <v>8</v>
          </cell>
          <cell r="K46" t="str">
            <v>7b</v>
          </cell>
          <cell r="M46" t="str">
            <v>C</v>
          </cell>
          <cell r="N46">
            <v>1</v>
          </cell>
          <cell r="Q46">
            <v>1</v>
          </cell>
          <cell r="R46" t="str">
            <v>9e</v>
          </cell>
          <cell r="S46">
            <v>0.03</v>
          </cell>
          <cell r="T46" t="str">
            <v>9e</v>
          </cell>
          <cell r="U46">
            <v>1</v>
          </cell>
          <cell r="V46" t="str">
            <v>9e</v>
          </cell>
          <cell r="W46">
            <v>0.03</v>
          </cell>
          <cell r="X46" t="str">
            <v>9e</v>
          </cell>
          <cell r="Y46" t="str">
            <v>NC</v>
          </cell>
          <cell r="AA46" t="str">
            <v>NC</v>
          </cell>
          <cell r="AC46">
            <v>1</v>
          </cell>
          <cell r="AD46">
            <v>9</v>
          </cell>
          <cell r="AE46">
            <v>1</v>
          </cell>
          <cell r="AF46">
            <v>9</v>
          </cell>
          <cell r="AK46">
            <v>0.75</v>
          </cell>
          <cell r="AL46" t="str">
            <v>NC</v>
          </cell>
          <cell r="AO46">
            <v>0</v>
          </cell>
          <cell r="AT46">
            <v>125000</v>
          </cell>
          <cell r="AU46">
            <v>30.872830872830868</v>
          </cell>
          <cell r="AV46">
            <v>13</v>
          </cell>
          <cell r="AW46">
            <v>7.5794798657718134</v>
          </cell>
          <cell r="AX46">
            <v>0.1</v>
          </cell>
          <cell r="AY46">
            <v>1</v>
          </cell>
          <cell r="AZ46">
            <v>5040000</v>
          </cell>
          <cell r="BA46">
            <v>22</v>
          </cell>
          <cell r="BB46">
            <v>5.62E-3</v>
          </cell>
          <cell r="BC46">
            <v>22</v>
          </cell>
          <cell r="BD46">
            <v>0.22998854149615322</v>
          </cell>
          <cell r="BE46">
            <v>99</v>
          </cell>
          <cell r="BF46">
            <v>13</v>
          </cell>
          <cell r="BG46">
            <v>234</v>
          </cell>
          <cell r="BH46">
            <v>1.79</v>
          </cell>
          <cell r="BI46">
            <v>16</v>
          </cell>
          <cell r="BJ46">
            <v>53.4</v>
          </cell>
          <cell r="BK46" t="str">
            <v>17a</v>
          </cell>
          <cell r="BL46">
            <v>-96.9</v>
          </cell>
          <cell r="BM46">
            <v>17</v>
          </cell>
          <cell r="BO46">
            <v>6.7142885292595178E-3</v>
          </cell>
          <cell r="BS46">
            <v>500</v>
          </cell>
          <cell r="BT46" t="str">
            <v>Ceiling (Medium)</v>
          </cell>
          <cell r="BV46">
            <v>1000</v>
          </cell>
          <cell r="BW46" t="str">
            <v>Ceiling (Medium)</v>
          </cell>
          <cell r="BY46">
            <v>3000</v>
          </cell>
          <cell r="BZ46" t="str">
            <v>Ceiling (Medium)</v>
          </cell>
          <cell r="CA46">
            <v>50000</v>
          </cell>
          <cell r="CB46" t="str">
            <v>0.005%</v>
          </cell>
        </row>
        <row r="47">
          <cell r="A47" t="str">
            <v>DICHLOROETHANE, 1,2-</v>
          </cell>
          <cell r="B47" t="str">
            <v>107-06-2</v>
          </cell>
          <cell r="C47">
            <v>42922</v>
          </cell>
          <cell r="D47">
            <v>0.02</v>
          </cell>
          <cell r="E47">
            <v>4</v>
          </cell>
          <cell r="F47">
            <v>0.02</v>
          </cell>
          <cell r="G47">
            <v>6</v>
          </cell>
          <cell r="H47">
            <v>7.0000000000000001E-3</v>
          </cell>
          <cell r="I47">
            <v>6</v>
          </cell>
          <cell r="J47">
            <v>7.0000000000000007E-2</v>
          </cell>
          <cell r="K47">
            <v>6</v>
          </cell>
          <cell r="L47">
            <v>9.0999999999999998E-2</v>
          </cell>
          <cell r="M47" t="str">
            <v>B2</v>
          </cell>
          <cell r="N47">
            <v>1</v>
          </cell>
          <cell r="O47">
            <v>2.5999999999999998E-5</v>
          </cell>
          <cell r="P47">
            <v>1</v>
          </cell>
          <cell r="Q47">
            <v>1</v>
          </cell>
          <cell r="R47" t="str">
            <v>9e</v>
          </cell>
          <cell r="S47">
            <v>0.03</v>
          </cell>
          <cell r="T47" t="str">
            <v>9e</v>
          </cell>
          <cell r="U47">
            <v>1</v>
          </cell>
          <cell r="V47" t="str">
            <v>9e</v>
          </cell>
          <cell r="W47">
            <v>0.03</v>
          </cell>
          <cell r="X47" t="str">
            <v>9e</v>
          </cell>
          <cell r="Y47">
            <v>1</v>
          </cell>
          <cell r="Z47" t="str">
            <v>9e</v>
          </cell>
          <cell r="AA47">
            <v>0.03</v>
          </cell>
          <cell r="AB47" t="str">
            <v>9e</v>
          </cell>
          <cell r="AC47">
            <v>1</v>
          </cell>
          <cell r="AD47">
            <v>9</v>
          </cell>
          <cell r="AE47">
            <v>1</v>
          </cell>
          <cell r="AF47">
            <v>9</v>
          </cell>
          <cell r="AG47">
            <v>1</v>
          </cell>
          <cell r="AH47">
            <v>9</v>
          </cell>
          <cell r="AK47">
            <v>1</v>
          </cell>
          <cell r="AL47">
            <v>1</v>
          </cell>
          <cell r="AO47">
            <v>0</v>
          </cell>
          <cell r="AR47">
            <v>20000</v>
          </cell>
          <cell r="AS47">
            <v>13</v>
          </cell>
          <cell r="AT47">
            <v>2424</v>
          </cell>
          <cell r="AU47">
            <v>0.59868593628593625</v>
          </cell>
          <cell r="AV47">
            <v>13</v>
          </cell>
          <cell r="AW47">
            <v>131.95566358229783</v>
          </cell>
          <cell r="AX47">
            <v>0.1</v>
          </cell>
          <cell r="AY47">
            <v>1</v>
          </cell>
          <cell r="AZ47">
            <v>8600000</v>
          </cell>
          <cell r="BA47">
            <v>22</v>
          </cell>
          <cell r="BB47">
            <v>1.1800000000000001E-3</v>
          </cell>
          <cell r="BC47">
            <v>22</v>
          </cell>
          <cell r="BD47">
            <v>4.8289409068587336E-2</v>
          </cell>
          <cell r="BE47">
            <v>99</v>
          </cell>
          <cell r="BF47">
            <v>13</v>
          </cell>
          <cell r="BG47">
            <v>79</v>
          </cell>
          <cell r="BH47">
            <v>1</v>
          </cell>
          <cell r="BI47">
            <v>16</v>
          </cell>
          <cell r="BJ47">
            <v>38</v>
          </cell>
          <cell r="BK47" t="str">
            <v>17a</v>
          </cell>
          <cell r="BL47">
            <v>-35.5</v>
          </cell>
          <cell r="BM47">
            <v>17</v>
          </cell>
          <cell r="BO47">
            <v>2.0211567669607537E-3</v>
          </cell>
          <cell r="BS47">
            <v>100</v>
          </cell>
          <cell r="BT47" t="str">
            <v>Ceiling (Low)</v>
          </cell>
          <cell r="BV47">
            <v>500</v>
          </cell>
          <cell r="BW47" t="str">
            <v>Ceiling (Low)</v>
          </cell>
          <cell r="BY47">
            <v>1000</v>
          </cell>
          <cell r="BZ47" t="str">
            <v>Ceiling (Low)</v>
          </cell>
          <cell r="CA47">
            <v>50000</v>
          </cell>
          <cell r="CB47" t="str">
            <v>0.005%</v>
          </cell>
        </row>
        <row r="48">
          <cell r="A48" t="str">
            <v>DICHLOROETHYLENE, 1,1-</v>
          </cell>
          <cell r="B48" t="str">
            <v>75-35-4</v>
          </cell>
          <cell r="C48">
            <v>42922</v>
          </cell>
          <cell r="D48">
            <v>0.05</v>
          </cell>
          <cell r="E48">
            <v>1</v>
          </cell>
          <cell r="F48">
            <v>0.05</v>
          </cell>
          <cell r="G48" t="str">
            <v>1d</v>
          </cell>
          <cell r="H48">
            <v>0.2</v>
          </cell>
          <cell r="I48">
            <v>1</v>
          </cell>
          <cell r="J48">
            <v>0.2</v>
          </cell>
          <cell r="K48" t="str">
            <v>1j</v>
          </cell>
          <cell r="M48" t="str">
            <v>C</v>
          </cell>
          <cell r="N48">
            <v>1</v>
          </cell>
          <cell r="P48">
            <v>1</v>
          </cell>
          <cell r="Q48">
            <v>1</v>
          </cell>
          <cell r="R48" t="str">
            <v>9e</v>
          </cell>
          <cell r="S48">
            <v>0.03</v>
          </cell>
          <cell r="T48" t="str">
            <v>9e</v>
          </cell>
          <cell r="U48">
            <v>1</v>
          </cell>
          <cell r="V48" t="str">
            <v>9e</v>
          </cell>
          <cell r="W48">
            <v>0.03</v>
          </cell>
          <cell r="X48" t="str">
            <v>9e</v>
          </cell>
          <cell r="Y48" t="str">
            <v>NC</v>
          </cell>
          <cell r="AA48" t="str">
            <v>NC</v>
          </cell>
          <cell r="AC48">
            <v>1</v>
          </cell>
          <cell r="AD48">
            <v>9</v>
          </cell>
          <cell r="AE48">
            <v>1</v>
          </cell>
          <cell r="AF48">
            <v>9</v>
          </cell>
          <cell r="AK48">
            <v>1</v>
          </cell>
          <cell r="AL48">
            <v>0.98</v>
          </cell>
          <cell r="AO48">
            <v>0</v>
          </cell>
          <cell r="AT48">
            <v>125000</v>
          </cell>
          <cell r="AU48">
            <v>31.509384086703669</v>
          </cell>
          <cell r="AV48">
            <v>13</v>
          </cell>
          <cell r="AW48">
            <v>18.756317114093964</v>
          </cell>
          <cell r="AX48">
            <v>0.1</v>
          </cell>
          <cell r="AY48">
            <v>1</v>
          </cell>
          <cell r="AZ48">
            <v>2420000</v>
          </cell>
          <cell r="BA48">
            <v>22</v>
          </cell>
          <cell r="BB48">
            <v>2.6100000000000002E-2</v>
          </cell>
          <cell r="BC48">
            <v>22</v>
          </cell>
          <cell r="BD48">
            <v>1.0680962514323131</v>
          </cell>
          <cell r="BE48">
            <v>97</v>
          </cell>
          <cell r="BF48">
            <v>13</v>
          </cell>
          <cell r="BG48">
            <v>591</v>
          </cell>
          <cell r="BH48">
            <v>1.48</v>
          </cell>
          <cell r="BI48">
            <v>16</v>
          </cell>
          <cell r="BJ48">
            <v>65</v>
          </cell>
          <cell r="BK48" t="str">
            <v>17a</v>
          </cell>
          <cell r="BL48">
            <v>-122.5</v>
          </cell>
          <cell r="BM48">
            <v>17</v>
          </cell>
          <cell r="BO48">
            <v>4.3013026338213599E-3</v>
          </cell>
          <cell r="BS48">
            <v>500</v>
          </cell>
          <cell r="BT48" t="str">
            <v>Ceiling (Medium)</v>
          </cell>
          <cell r="BV48">
            <v>1000</v>
          </cell>
          <cell r="BW48" t="str">
            <v>Ceiling (Medium)</v>
          </cell>
          <cell r="BY48">
            <v>3000</v>
          </cell>
          <cell r="BZ48" t="str">
            <v>Ceiling (Medium)</v>
          </cell>
          <cell r="CA48">
            <v>50000</v>
          </cell>
          <cell r="CB48" t="str">
            <v>0.005%</v>
          </cell>
        </row>
        <row r="49">
          <cell r="A49" t="str">
            <v>DICHLOROETHYLENE, CIS-1,2-</v>
          </cell>
          <cell r="B49" t="str">
            <v>156-59-2</v>
          </cell>
          <cell r="C49">
            <v>42922</v>
          </cell>
          <cell r="D49">
            <v>2E-3</v>
          </cell>
          <cell r="E49">
            <v>1</v>
          </cell>
          <cell r="F49">
            <v>0.02</v>
          </cell>
          <cell r="G49">
            <v>6</v>
          </cell>
          <cell r="H49">
            <v>7.0000000000000001E-3</v>
          </cell>
          <cell r="I49" t="str">
            <v>7b</v>
          </cell>
          <cell r="J49">
            <v>7.0000000000000007E-2</v>
          </cell>
          <cell r="K49" t="str">
            <v>7b</v>
          </cell>
          <cell r="M49" t="str">
            <v>D</v>
          </cell>
          <cell r="N49">
            <v>1</v>
          </cell>
          <cell r="Q49">
            <v>1</v>
          </cell>
          <cell r="R49" t="str">
            <v>9e</v>
          </cell>
          <cell r="S49">
            <v>0.03</v>
          </cell>
          <cell r="T49" t="str">
            <v>9e</v>
          </cell>
          <cell r="U49">
            <v>1</v>
          </cell>
          <cell r="V49" t="str">
            <v>9e</v>
          </cell>
          <cell r="W49">
            <v>0.03</v>
          </cell>
          <cell r="X49" t="str">
            <v>9e</v>
          </cell>
          <cell r="Y49" t="str">
            <v>NC</v>
          </cell>
          <cell r="AA49" t="str">
            <v>NC</v>
          </cell>
          <cell r="AC49">
            <v>1</v>
          </cell>
          <cell r="AD49">
            <v>9</v>
          </cell>
          <cell r="AE49">
            <v>1</v>
          </cell>
          <cell r="AF49">
            <v>9</v>
          </cell>
          <cell r="AK49">
            <v>0.84</v>
          </cell>
          <cell r="AL49" t="str">
            <v>NC</v>
          </cell>
          <cell r="AO49">
            <v>0</v>
          </cell>
          <cell r="AU49">
            <v>0</v>
          </cell>
          <cell r="AW49">
            <v>0</v>
          </cell>
          <cell r="AX49">
            <v>0.1</v>
          </cell>
          <cell r="AY49">
            <v>0.6</v>
          </cell>
          <cell r="AZ49">
            <v>6410000</v>
          </cell>
          <cell r="BA49">
            <v>22</v>
          </cell>
          <cell r="BB49">
            <v>4.0800000000000003E-3</v>
          </cell>
          <cell r="BC49">
            <v>22</v>
          </cell>
          <cell r="BD49">
            <v>0.16696677033884436</v>
          </cell>
          <cell r="BE49">
            <v>97</v>
          </cell>
          <cell r="BF49">
            <v>13</v>
          </cell>
          <cell r="BG49">
            <v>202</v>
          </cell>
          <cell r="BH49">
            <v>1.76</v>
          </cell>
          <cell r="BI49">
            <v>17</v>
          </cell>
          <cell r="BJ49">
            <v>35.5</v>
          </cell>
          <cell r="BK49" t="str">
            <v>17b</v>
          </cell>
          <cell r="BL49">
            <v>-80</v>
          </cell>
          <cell r="BM49">
            <v>17</v>
          </cell>
          <cell r="BO49">
            <v>6.5826384164090132E-3</v>
          </cell>
          <cell r="BS49">
            <v>100</v>
          </cell>
          <cell r="BT49" t="str">
            <v>Ceiling (Low)</v>
          </cell>
          <cell r="BV49">
            <v>500</v>
          </cell>
          <cell r="BW49" t="str">
            <v>Ceiling (Low)</v>
          </cell>
          <cell r="BY49">
            <v>500</v>
          </cell>
          <cell r="BZ49" t="str">
            <v>High Volatility</v>
          </cell>
          <cell r="CA49">
            <v>50000</v>
          </cell>
          <cell r="CB49" t="str">
            <v>0.005%</v>
          </cell>
        </row>
        <row r="50">
          <cell r="A50" t="str">
            <v>DICHLOROETHYLENE, TRANS-1,2-</v>
          </cell>
          <cell r="B50" t="str">
            <v>156-60-5</v>
          </cell>
          <cell r="C50">
            <v>42922</v>
          </cell>
          <cell r="D50">
            <v>0.02</v>
          </cell>
          <cell r="E50">
            <v>1</v>
          </cell>
          <cell r="F50">
            <v>0.2</v>
          </cell>
          <cell r="G50" t="str">
            <v>1i</v>
          </cell>
          <cell r="H50">
            <v>7.0000000000000007E-2</v>
          </cell>
          <cell r="I50" t="str">
            <v>7b</v>
          </cell>
          <cell r="J50">
            <v>0.7</v>
          </cell>
          <cell r="K50" t="str">
            <v>7b</v>
          </cell>
          <cell r="Q50">
            <v>1</v>
          </cell>
          <cell r="R50" t="str">
            <v>9e</v>
          </cell>
          <cell r="S50">
            <v>0.03</v>
          </cell>
          <cell r="T50" t="str">
            <v>9e</v>
          </cell>
          <cell r="U50">
            <v>1</v>
          </cell>
          <cell r="V50" t="str">
            <v>9e</v>
          </cell>
          <cell r="W50">
            <v>0.03</v>
          </cell>
          <cell r="X50" t="str">
            <v>9e</v>
          </cell>
          <cell r="Y50" t="str">
            <v>NC</v>
          </cell>
          <cell r="AA50" t="str">
            <v>NC</v>
          </cell>
          <cell r="AC50">
            <v>1</v>
          </cell>
          <cell r="AD50">
            <v>9</v>
          </cell>
          <cell r="AE50">
            <v>1</v>
          </cell>
          <cell r="AF50">
            <v>9</v>
          </cell>
          <cell r="AK50">
            <v>0.84</v>
          </cell>
          <cell r="AL50" t="str">
            <v>NC</v>
          </cell>
          <cell r="AO50">
            <v>0</v>
          </cell>
          <cell r="AR50">
            <v>260</v>
          </cell>
          <cell r="AS50">
            <v>13</v>
          </cell>
          <cell r="AT50">
            <v>67320</v>
          </cell>
          <cell r="AU50">
            <v>16.96969389373513</v>
          </cell>
          <cell r="AV50">
            <v>13</v>
          </cell>
          <cell r="AW50">
            <v>19.505360678438553</v>
          </cell>
          <cell r="AX50">
            <v>0.1</v>
          </cell>
          <cell r="AY50">
            <v>0.3</v>
          </cell>
          <cell r="AZ50">
            <v>4520000</v>
          </cell>
          <cell r="BA50">
            <v>22</v>
          </cell>
          <cell r="BB50">
            <v>9.3799999999999994E-3</v>
          </cell>
          <cell r="BC50">
            <v>22</v>
          </cell>
          <cell r="BD50">
            <v>0.38385987886724504</v>
          </cell>
          <cell r="BE50">
            <v>97</v>
          </cell>
          <cell r="BF50">
            <v>13</v>
          </cell>
          <cell r="BG50">
            <v>331</v>
          </cell>
          <cell r="BH50">
            <v>2.09</v>
          </cell>
          <cell r="BI50">
            <v>16</v>
          </cell>
          <cell r="BJ50">
            <v>38</v>
          </cell>
          <cell r="BK50" t="str">
            <v>17a</v>
          </cell>
          <cell r="BL50">
            <v>-49.8</v>
          </cell>
          <cell r="BM50">
            <v>17</v>
          </cell>
          <cell r="BO50">
            <v>1.0869260563262276E-2</v>
          </cell>
          <cell r="BS50">
            <v>500</v>
          </cell>
          <cell r="BT50" t="str">
            <v>Ceiling (Medium)</v>
          </cell>
          <cell r="BV50">
            <v>1000</v>
          </cell>
          <cell r="BW50" t="str">
            <v>Ceiling (Medium)</v>
          </cell>
          <cell r="BY50">
            <v>3000</v>
          </cell>
          <cell r="BZ50" t="str">
            <v>Ceiling (Medium)</v>
          </cell>
          <cell r="CA50">
            <v>50000</v>
          </cell>
          <cell r="CB50" t="str">
            <v>0.005%</v>
          </cell>
        </row>
        <row r="51">
          <cell r="A51" t="str">
            <v>DICHLOROMETHANE</v>
          </cell>
          <cell r="B51" t="str">
            <v>75-09-2</v>
          </cell>
          <cell r="C51">
            <v>42922</v>
          </cell>
          <cell r="D51">
            <v>6.0000000000000001E-3</v>
          </cell>
          <cell r="E51">
            <v>1</v>
          </cell>
          <cell r="F51">
            <v>6.0000000000000001E-3</v>
          </cell>
          <cell r="G51" t="str">
            <v>1d</v>
          </cell>
          <cell r="H51">
            <v>0.6</v>
          </cell>
          <cell r="I51">
            <v>1</v>
          </cell>
          <cell r="J51">
            <v>0.6</v>
          </cell>
          <cell r="K51" t="str">
            <v>1j</v>
          </cell>
          <cell r="L51">
            <v>2E-3</v>
          </cell>
          <cell r="M51" t="str">
            <v>B2</v>
          </cell>
          <cell r="N51">
            <v>1</v>
          </cell>
          <cell r="O51">
            <v>1E-8</v>
          </cell>
          <cell r="P51">
            <v>1</v>
          </cell>
          <cell r="Q51">
            <v>1</v>
          </cell>
          <cell r="R51" t="str">
            <v>9e</v>
          </cell>
          <cell r="S51">
            <v>0.03</v>
          </cell>
          <cell r="T51" t="str">
            <v>9e</v>
          </cell>
          <cell r="U51">
            <v>1</v>
          </cell>
          <cell r="V51" t="str">
            <v>9e</v>
          </cell>
          <cell r="W51">
            <v>0.03</v>
          </cell>
          <cell r="X51" t="str">
            <v>9e</v>
          </cell>
          <cell r="Y51">
            <v>1</v>
          </cell>
          <cell r="Z51" t="str">
            <v>9e</v>
          </cell>
          <cell r="AA51">
            <v>0.03</v>
          </cell>
          <cell r="AB51" t="str">
            <v>9e</v>
          </cell>
          <cell r="AC51">
            <v>1</v>
          </cell>
          <cell r="AD51">
            <v>9</v>
          </cell>
          <cell r="AE51">
            <v>1</v>
          </cell>
          <cell r="AF51">
            <v>9</v>
          </cell>
          <cell r="AG51">
            <v>1</v>
          </cell>
          <cell r="AH51">
            <v>9</v>
          </cell>
          <cell r="AJ51" t="str">
            <v>M</v>
          </cell>
          <cell r="AK51">
            <v>1</v>
          </cell>
          <cell r="AL51">
            <v>1</v>
          </cell>
          <cell r="AO51">
            <v>11</v>
          </cell>
          <cell r="AP51">
            <v>600</v>
          </cell>
          <cell r="AR51">
            <v>9100</v>
          </cell>
          <cell r="AS51">
            <v>13</v>
          </cell>
          <cell r="AT51">
            <v>540000</v>
          </cell>
          <cell r="AU51">
            <v>155.33755656108596</v>
          </cell>
          <cell r="AV51">
            <v>13</v>
          </cell>
          <cell r="AW51">
            <v>2.761727488814318</v>
          </cell>
          <cell r="AX51">
            <v>0.1</v>
          </cell>
          <cell r="AY51">
            <v>5</v>
          </cell>
          <cell r="AZ51">
            <v>13000000</v>
          </cell>
          <cell r="BA51">
            <v>22</v>
          </cell>
          <cell r="BB51">
            <v>3.2499999999999999E-3</v>
          </cell>
          <cell r="BC51">
            <v>22</v>
          </cell>
          <cell r="BD51">
            <v>0.13300049107873629</v>
          </cell>
          <cell r="BE51">
            <v>85</v>
          </cell>
          <cell r="BF51">
            <v>13</v>
          </cell>
          <cell r="BG51">
            <v>429</v>
          </cell>
          <cell r="BH51">
            <v>1.25</v>
          </cell>
          <cell r="BI51">
            <v>16</v>
          </cell>
          <cell r="BJ51">
            <v>10</v>
          </cell>
          <cell r="BK51" t="str">
            <v>17a</v>
          </cell>
          <cell r="BL51">
            <v>-95.1</v>
          </cell>
          <cell r="BM51">
            <v>17</v>
          </cell>
          <cell r="BO51">
            <v>3.5399734108343484E-3</v>
          </cell>
          <cell r="BS51">
            <v>500</v>
          </cell>
          <cell r="BT51" t="str">
            <v>Ceiling (Medium)</v>
          </cell>
          <cell r="BV51">
            <v>1000</v>
          </cell>
          <cell r="BW51" t="str">
            <v>Ceiling (Medium)</v>
          </cell>
          <cell r="BY51">
            <v>3000</v>
          </cell>
          <cell r="BZ51" t="str">
            <v>Ceiling (Medium)</v>
          </cell>
          <cell r="CA51">
            <v>50000</v>
          </cell>
          <cell r="CB51" t="str">
            <v>0.005%</v>
          </cell>
        </row>
        <row r="52">
          <cell r="A52" t="str">
            <v>DICHLOROPHENOL, 2,4-</v>
          </cell>
          <cell r="B52" t="str">
            <v>120-83-2</v>
          </cell>
          <cell r="C52">
            <v>42922</v>
          </cell>
          <cell r="D52">
            <v>3.0000000000000001E-3</v>
          </cell>
          <cell r="E52">
            <v>1</v>
          </cell>
          <cell r="F52">
            <v>0.02</v>
          </cell>
          <cell r="G52">
            <v>6</v>
          </cell>
          <cell r="H52">
            <v>1.0999999999999999E-2</v>
          </cell>
          <cell r="I52" t="str">
            <v>7b</v>
          </cell>
          <cell r="J52">
            <v>0.06</v>
          </cell>
          <cell r="K52" t="str">
            <v>7b</v>
          </cell>
          <cell r="Q52">
            <v>1</v>
          </cell>
          <cell r="R52" t="str">
            <v>9e</v>
          </cell>
          <cell r="S52">
            <v>0.3</v>
          </cell>
          <cell r="T52" t="str">
            <v>9b</v>
          </cell>
          <cell r="U52">
            <v>1</v>
          </cell>
          <cell r="V52" t="str">
            <v>9e</v>
          </cell>
          <cell r="W52">
            <v>0.3</v>
          </cell>
          <cell r="X52" t="str">
            <v>9b</v>
          </cell>
          <cell r="Y52" t="str">
            <v>NC</v>
          </cell>
          <cell r="AA52" t="str">
            <v>NC</v>
          </cell>
          <cell r="AC52">
            <v>1</v>
          </cell>
          <cell r="AD52">
            <v>9</v>
          </cell>
          <cell r="AE52">
            <v>1</v>
          </cell>
          <cell r="AF52">
            <v>9</v>
          </cell>
          <cell r="AK52">
            <v>1</v>
          </cell>
          <cell r="AL52" t="str">
            <v>NC</v>
          </cell>
          <cell r="AO52">
            <v>0</v>
          </cell>
          <cell r="AR52">
            <v>0.3</v>
          </cell>
          <cell r="AS52">
            <v>13</v>
          </cell>
          <cell r="AT52">
            <v>1400.7</v>
          </cell>
          <cell r="AU52">
            <v>0.21011601698914581</v>
          </cell>
          <cell r="AV52">
            <v>13</v>
          </cell>
          <cell r="AW52">
            <v>0.31887145473284456</v>
          </cell>
          <cell r="AX52">
            <v>0.66</v>
          </cell>
          <cell r="AY52">
            <v>13.5</v>
          </cell>
          <cell r="AZ52">
            <v>4500000</v>
          </cell>
          <cell r="BA52">
            <v>22</v>
          </cell>
          <cell r="BB52">
            <v>5.5099999999999998E-6</v>
          </cell>
          <cell r="BC52">
            <v>22</v>
          </cell>
          <cell r="BD52">
            <v>2.254869864134883E-4</v>
          </cell>
          <cell r="BE52">
            <v>163</v>
          </cell>
          <cell r="BF52">
            <v>13</v>
          </cell>
          <cell r="BG52">
            <v>6.7000000000000004E-2</v>
          </cell>
          <cell r="BH52">
            <v>3.06</v>
          </cell>
          <cell r="BI52">
            <v>16</v>
          </cell>
          <cell r="BJ52">
            <v>72</v>
          </cell>
          <cell r="BK52" t="str">
            <v>17b</v>
          </cell>
          <cell r="BL52">
            <v>45</v>
          </cell>
          <cell r="BM52">
            <v>17</v>
          </cell>
          <cell r="BO52">
            <v>2.026749152098967E-2</v>
          </cell>
          <cell r="BS52">
            <v>500</v>
          </cell>
          <cell r="BT52" t="str">
            <v>Ceiling (Medium)</v>
          </cell>
          <cell r="BV52">
            <v>1000</v>
          </cell>
          <cell r="BW52" t="str">
            <v>Ceiling (Medium)</v>
          </cell>
          <cell r="BY52">
            <v>3000</v>
          </cell>
          <cell r="BZ52" t="str">
            <v>Ceiling (Medium)</v>
          </cell>
          <cell r="CA52">
            <v>50000</v>
          </cell>
          <cell r="CB52" t="str">
            <v>0.005%</v>
          </cell>
        </row>
        <row r="53">
          <cell r="A53" t="str">
            <v>DICHLOROPROPANE, 1,2-</v>
          </cell>
          <cell r="B53" t="str">
            <v>78-87-5</v>
          </cell>
          <cell r="C53">
            <v>42923</v>
          </cell>
          <cell r="D53">
            <v>0.04</v>
          </cell>
          <cell r="E53">
            <v>6</v>
          </cell>
          <cell r="F53">
            <v>0.04</v>
          </cell>
          <cell r="G53">
            <v>6</v>
          </cell>
          <cell r="H53">
            <v>4.0000000000000001E-3</v>
          </cell>
          <cell r="I53">
            <v>1</v>
          </cell>
          <cell r="J53">
            <v>1.2E-2</v>
          </cell>
          <cell r="K53" t="str">
            <v>1k</v>
          </cell>
          <cell r="L53">
            <v>3.6999999999999998E-2</v>
          </cell>
          <cell r="M53" t="str">
            <v>B2</v>
          </cell>
          <cell r="N53">
            <v>6</v>
          </cell>
          <cell r="O53">
            <v>1.9000000000000001E-5</v>
          </cell>
          <cell r="P53">
            <v>3</v>
          </cell>
          <cell r="Q53">
            <v>1</v>
          </cell>
          <cell r="R53" t="str">
            <v>9e</v>
          </cell>
          <cell r="S53">
            <v>0.03</v>
          </cell>
          <cell r="T53" t="str">
            <v>9e</v>
          </cell>
          <cell r="U53">
            <v>1</v>
          </cell>
          <cell r="V53" t="str">
            <v>9e</v>
          </cell>
          <cell r="W53">
            <v>0.03</v>
          </cell>
          <cell r="X53" t="str">
            <v>9e</v>
          </cell>
          <cell r="Y53">
            <v>1</v>
          </cell>
          <cell r="Z53" t="str">
            <v>9e</v>
          </cell>
          <cell r="AA53">
            <v>0.03</v>
          </cell>
          <cell r="AB53" t="str">
            <v>9e</v>
          </cell>
          <cell r="AC53">
            <v>1</v>
          </cell>
          <cell r="AD53">
            <v>9</v>
          </cell>
          <cell r="AE53">
            <v>1</v>
          </cell>
          <cell r="AF53">
            <v>9</v>
          </cell>
          <cell r="AG53">
            <v>1</v>
          </cell>
          <cell r="AH53">
            <v>9</v>
          </cell>
          <cell r="AK53">
            <v>1</v>
          </cell>
          <cell r="AL53">
            <v>1</v>
          </cell>
          <cell r="AO53">
            <v>0</v>
          </cell>
          <cell r="AR53">
            <v>10</v>
          </cell>
          <cell r="AS53">
            <v>13</v>
          </cell>
          <cell r="AT53">
            <v>1190.5</v>
          </cell>
          <cell r="AU53">
            <v>0.25760399364647146</v>
          </cell>
          <cell r="AV53">
            <v>13</v>
          </cell>
          <cell r="AW53">
            <v>163.0409505903842</v>
          </cell>
          <cell r="AX53">
            <v>0.1</v>
          </cell>
          <cell r="AY53">
            <v>1</v>
          </cell>
          <cell r="AZ53">
            <v>2800000</v>
          </cell>
          <cell r="BA53">
            <v>22</v>
          </cell>
          <cell r="BB53">
            <v>2.82E-3</v>
          </cell>
          <cell r="BC53">
            <v>22</v>
          </cell>
          <cell r="BD53">
            <v>0.11540350302831888</v>
          </cell>
          <cell r="BE53">
            <v>113</v>
          </cell>
          <cell r="BF53">
            <v>13</v>
          </cell>
          <cell r="BG53">
            <v>42</v>
          </cell>
          <cell r="BH53">
            <v>1.98</v>
          </cell>
          <cell r="BI53">
            <v>16</v>
          </cell>
          <cell r="BJ53">
            <v>46.773514128719818</v>
          </cell>
          <cell r="BK53" t="str">
            <v>17a</v>
          </cell>
          <cell r="BL53">
            <v>-70</v>
          </cell>
          <cell r="BM53">
            <v>17</v>
          </cell>
          <cell r="BO53">
            <v>7.481695005111544E-3</v>
          </cell>
          <cell r="BS53">
            <v>100</v>
          </cell>
          <cell r="BT53" t="str">
            <v>Ceiling (Low)</v>
          </cell>
          <cell r="BV53">
            <v>500</v>
          </cell>
          <cell r="BW53" t="str">
            <v>Ceiling (Low)</v>
          </cell>
          <cell r="BY53">
            <v>1000</v>
          </cell>
          <cell r="BZ53" t="str">
            <v>Ceiling (Low)</v>
          </cell>
          <cell r="CA53">
            <v>50000</v>
          </cell>
          <cell r="CB53" t="str">
            <v>0.005%</v>
          </cell>
        </row>
        <row r="54">
          <cell r="A54" t="str">
            <v>DICHLOROPROPENE, 1,3-</v>
          </cell>
          <cell r="B54" t="str">
            <v>542-75-6</v>
          </cell>
          <cell r="C54">
            <v>42922</v>
          </cell>
          <cell r="D54">
            <v>0.03</v>
          </cell>
          <cell r="E54">
            <v>1</v>
          </cell>
          <cell r="F54">
            <v>0.03</v>
          </cell>
          <cell r="G54" t="str">
            <v>1d</v>
          </cell>
          <cell r="H54">
            <v>0.02</v>
          </cell>
          <cell r="I54">
            <v>1</v>
          </cell>
          <cell r="J54">
            <v>0.02</v>
          </cell>
          <cell r="K54" t="str">
            <v>7c</v>
          </cell>
          <cell r="L54">
            <v>0.1</v>
          </cell>
          <cell r="M54" t="str">
            <v>B2</v>
          </cell>
          <cell r="N54">
            <v>1</v>
          </cell>
          <cell r="O54">
            <v>3.9999999999999998E-6</v>
          </cell>
          <cell r="P54">
            <v>1</v>
          </cell>
          <cell r="Q54">
            <v>1</v>
          </cell>
          <cell r="R54" t="str">
            <v>9e</v>
          </cell>
          <cell r="S54">
            <v>0.03</v>
          </cell>
          <cell r="T54" t="str">
            <v>9e</v>
          </cell>
          <cell r="U54">
            <v>1</v>
          </cell>
          <cell r="V54" t="str">
            <v>9e</v>
          </cell>
          <cell r="W54">
            <v>0.03</v>
          </cell>
          <cell r="X54" t="str">
            <v>9e</v>
          </cell>
          <cell r="Y54">
            <v>1</v>
          </cell>
          <cell r="Z54" t="str">
            <v>9e</v>
          </cell>
          <cell r="AA54">
            <v>0.03</v>
          </cell>
          <cell r="AB54" t="str">
            <v>9e</v>
          </cell>
          <cell r="AC54">
            <v>1</v>
          </cell>
          <cell r="AD54">
            <v>9</v>
          </cell>
          <cell r="AE54">
            <v>1</v>
          </cell>
          <cell r="AF54">
            <v>9</v>
          </cell>
          <cell r="AG54">
            <v>1</v>
          </cell>
          <cell r="AH54">
            <v>9</v>
          </cell>
          <cell r="AK54">
            <v>1</v>
          </cell>
          <cell r="AL54">
            <v>1</v>
          </cell>
          <cell r="AO54">
            <v>0</v>
          </cell>
          <cell r="AT54">
            <v>4610</v>
          </cell>
          <cell r="AU54">
            <v>1.0154991914991915</v>
          </cell>
          <cell r="AV54">
            <v>13</v>
          </cell>
          <cell r="AW54">
            <v>42.343706779833738</v>
          </cell>
          <cell r="AX54">
            <v>5.0000000000000001E-3</v>
          </cell>
          <cell r="AY54">
            <v>5</v>
          </cell>
          <cell r="AZ54">
            <v>2800000</v>
          </cell>
          <cell r="BA54">
            <v>22</v>
          </cell>
          <cell r="BB54">
            <v>3.5500000000000002E-3</v>
          </cell>
          <cell r="BC54">
            <v>22</v>
          </cell>
          <cell r="BD54">
            <v>0.14527745948600426</v>
          </cell>
          <cell r="BE54">
            <v>111</v>
          </cell>
          <cell r="BF54">
            <v>13</v>
          </cell>
          <cell r="BG54">
            <v>43</v>
          </cell>
          <cell r="BH54">
            <v>2.04</v>
          </cell>
          <cell r="BI54">
            <v>16</v>
          </cell>
          <cell r="BJ54">
            <v>27.1</v>
          </cell>
          <cell r="BK54" t="str">
            <v>17a</v>
          </cell>
          <cell r="BO54">
            <v>8.4100775406923331E-3</v>
          </cell>
          <cell r="BS54">
            <v>500</v>
          </cell>
          <cell r="BT54" t="str">
            <v>Ceiling (Medium)</v>
          </cell>
          <cell r="BV54">
            <v>1000</v>
          </cell>
          <cell r="BW54" t="str">
            <v>Ceiling (Medium)</v>
          </cell>
          <cell r="BY54">
            <v>3000</v>
          </cell>
          <cell r="BZ54" t="str">
            <v>Ceiling (Medium)</v>
          </cell>
          <cell r="CA54">
            <v>50000</v>
          </cell>
          <cell r="CB54" t="str">
            <v>0.005%</v>
          </cell>
        </row>
        <row r="55">
          <cell r="A55" t="str">
            <v>DIELDRIN</v>
          </cell>
          <cell r="B55" t="str">
            <v>60-57-1</v>
          </cell>
          <cell r="C55">
            <v>42923</v>
          </cell>
          <cell r="D55">
            <v>5.0000000000000002E-5</v>
          </cell>
          <cell r="E55">
            <v>1</v>
          </cell>
          <cell r="F55">
            <v>5.0000000000000002E-5</v>
          </cell>
          <cell r="G55">
            <v>2</v>
          </cell>
          <cell r="H55">
            <v>1.8000000000000001E-4</v>
          </cell>
          <cell r="I55" t="str">
            <v>7b</v>
          </cell>
          <cell r="J55">
            <v>1.8000000000000001E-4</v>
          </cell>
          <cell r="K55" t="str">
            <v>7c</v>
          </cell>
          <cell r="L55">
            <v>16</v>
          </cell>
          <cell r="M55" t="str">
            <v>B2</v>
          </cell>
          <cell r="N55">
            <v>1</v>
          </cell>
          <cell r="O55">
            <v>4.5999999999999999E-3</v>
          </cell>
          <cell r="P55">
            <v>1</v>
          </cell>
          <cell r="Q55">
            <v>1</v>
          </cell>
          <cell r="R55" t="str">
            <v>9e</v>
          </cell>
          <cell r="S55">
            <v>0.1</v>
          </cell>
          <cell r="T55" t="str">
            <v>9e</v>
          </cell>
          <cell r="U55">
            <v>1</v>
          </cell>
          <cell r="V55" t="str">
            <v>9e</v>
          </cell>
          <cell r="W55">
            <v>0.1</v>
          </cell>
          <cell r="X55" t="str">
            <v>9e</v>
          </cell>
          <cell r="Y55">
            <v>1</v>
          </cell>
          <cell r="Z55" t="str">
            <v>9e</v>
          </cell>
          <cell r="AA55">
            <v>0.1</v>
          </cell>
          <cell r="AB55" t="str">
            <v>9e</v>
          </cell>
          <cell r="AC55">
            <v>1</v>
          </cell>
          <cell r="AD55">
            <v>9</v>
          </cell>
          <cell r="AE55">
            <v>1</v>
          </cell>
          <cell r="AF55">
            <v>9</v>
          </cell>
          <cell r="AG55">
            <v>1</v>
          </cell>
          <cell r="AH55">
            <v>9</v>
          </cell>
          <cell r="AK55">
            <v>0.8</v>
          </cell>
          <cell r="AL55">
            <v>0.8</v>
          </cell>
          <cell r="AO55">
            <v>0</v>
          </cell>
          <cell r="AR55">
            <v>41</v>
          </cell>
          <cell r="AS55">
            <v>13</v>
          </cell>
          <cell r="AU55">
            <v>0</v>
          </cell>
          <cell r="AW55">
            <v>0</v>
          </cell>
          <cell r="AX55">
            <v>1.34E-3</v>
          </cell>
          <cell r="AY55">
            <v>0.1</v>
          </cell>
          <cell r="AZ55">
            <v>195</v>
          </cell>
          <cell r="BA55">
            <v>22</v>
          </cell>
          <cell r="BB55">
            <v>1.0000000000000001E-5</v>
          </cell>
          <cell r="BC55">
            <v>22</v>
          </cell>
          <cell r="BD55">
            <v>4.0923228024226558E-4</v>
          </cell>
          <cell r="BE55">
            <v>381</v>
          </cell>
          <cell r="BF55">
            <v>13</v>
          </cell>
          <cell r="BG55">
            <v>1.8E-7</v>
          </cell>
          <cell r="BH55">
            <v>5.4</v>
          </cell>
          <cell r="BI55">
            <v>16</v>
          </cell>
          <cell r="BJ55">
            <v>25500</v>
          </cell>
          <cell r="BK55" t="str">
            <v>17a</v>
          </cell>
          <cell r="BL55">
            <v>175.5</v>
          </cell>
          <cell r="BM55">
            <v>17</v>
          </cell>
          <cell r="BO55">
            <v>4.2697259404803421E-2</v>
          </cell>
          <cell r="BS55">
            <v>1000</v>
          </cell>
          <cell r="BT55" t="str">
            <v>Ceiling (High)</v>
          </cell>
          <cell r="BV55">
            <v>3000</v>
          </cell>
          <cell r="BW55" t="str">
            <v>Ceiling (High)</v>
          </cell>
          <cell r="BY55">
            <v>5000</v>
          </cell>
          <cell r="BZ55" t="str">
            <v>Ceiling (High)</v>
          </cell>
          <cell r="CA55">
            <v>50000</v>
          </cell>
          <cell r="CB55" t="str">
            <v>0.005%</v>
          </cell>
        </row>
        <row r="56">
          <cell r="A56" t="str">
            <v>DIETHYL PHTHALATE</v>
          </cell>
          <cell r="B56" t="str">
            <v>84-66-2</v>
          </cell>
          <cell r="C56">
            <v>42923</v>
          </cell>
          <cell r="D56">
            <v>0.8</v>
          </cell>
          <cell r="E56">
            <v>1</v>
          </cell>
          <cell r="F56">
            <v>8</v>
          </cell>
          <cell r="G56">
            <v>2</v>
          </cell>
          <cell r="H56">
            <v>2.8</v>
          </cell>
          <cell r="I56" t="str">
            <v>7b</v>
          </cell>
          <cell r="J56">
            <v>28</v>
          </cell>
          <cell r="K56" t="str">
            <v>7b</v>
          </cell>
          <cell r="M56" t="str">
            <v>D</v>
          </cell>
          <cell r="N56">
            <v>1</v>
          </cell>
          <cell r="Q56">
            <v>1</v>
          </cell>
          <cell r="R56" t="str">
            <v>9e</v>
          </cell>
          <cell r="S56">
            <v>0.1</v>
          </cell>
          <cell r="T56" t="str">
            <v>9e</v>
          </cell>
          <cell r="U56">
            <v>1</v>
          </cell>
          <cell r="V56" t="str">
            <v>9e</v>
          </cell>
          <cell r="W56">
            <v>0.1</v>
          </cell>
          <cell r="X56" t="str">
            <v>9e</v>
          </cell>
          <cell r="Y56" t="str">
            <v>NC</v>
          </cell>
          <cell r="AA56" t="str">
            <v>NC</v>
          </cell>
          <cell r="AC56">
            <v>1</v>
          </cell>
          <cell r="AD56">
            <v>9</v>
          </cell>
          <cell r="AE56">
            <v>1</v>
          </cell>
          <cell r="AF56">
            <v>9</v>
          </cell>
          <cell r="AK56">
            <v>1</v>
          </cell>
          <cell r="AL56" t="str">
            <v>NC</v>
          </cell>
          <cell r="AO56">
            <v>0</v>
          </cell>
          <cell r="AU56">
            <v>0</v>
          </cell>
          <cell r="AW56">
            <v>0</v>
          </cell>
          <cell r="AX56">
            <v>0.66</v>
          </cell>
          <cell r="AY56">
            <v>4</v>
          </cell>
          <cell r="AZ56">
            <v>1080000</v>
          </cell>
          <cell r="BA56">
            <v>22</v>
          </cell>
          <cell r="BB56">
            <v>6.0999999999999998E-7</v>
          </cell>
          <cell r="BC56">
            <v>22</v>
          </cell>
          <cell r="BD56">
            <v>2.4963169094778196E-5</v>
          </cell>
          <cell r="BE56">
            <v>222</v>
          </cell>
          <cell r="BF56">
            <v>11</v>
          </cell>
          <cell r="BH56">
            <v>2.42</v>
          </cell>
          <cell r="BI56">
            <v>16</v>
          </cell>
          <cell r="BJ56">
            <v>82.2</v>
          </cell>
          <cell r="BK56" t="str">
            <v>17a</v>
          </cell>
          <cell r="BL56">
            <v>-40.5</v>
          </cell>
          <cell r="BM56">
            <v>17</v>
          </cell>
          <cell r="BO56">
            <v>3.5809643710263614E-3</v>
          </cell>
          <cell r="BS56">
            <v>1000</v>
          </cell>
          <cell r="BT56" t="str">
            <v>Ceiling (High)</v>
          </cell>
          <cell r="BV56">
            <v>3000</v>
          </cell>
          <cell r="BW56" t="str">
            <v>Ceiling (High)</v>
          </cell>
          <cell r="BY56">
            <v>5000</v>
          </cell>
          <cell r="BZ56" t="str">
            <v>Ceiling (High)</v>
          </cell>
          <cell r="CA56">
            <v>50000</v>
          </cell>
          <cell r="CB56" t="str">
            <v>0.005%</v>
          </cell>
        </row>
        <row r="57">
          <cell r="A57" t="str">
            <v>DIMETHYL PHTHALATE</v>
          </cell>
          <cell r="B57" t="str">
            <v>131-11-3</v>
          </cell>
          <cell r="C57">
            <v>42922</v>
          </cell>
          <cell r="D57">
            <v>0.1</v>
          </cell>
          <cell r="E57" t="str">
            <v>6a</v>
          </cell>
          <cell r="F57">
            <v>0.1</v>
          </cell>
          <cell r="G57" t="str">
            <v>6c</v>
          </cell>
          <cell r="H57">
            <v>0.4</v>
          </cell>
          <cell r="I57" t="str">
            <v>7b</v>
          </cell>
          <cell r="J57">
            <v>0.4</v>
          </cell>
          <cell r="K57" t="str">
            <v>7b</v>
          </cell>
          <cell r="M57" t="str">
            <v>D</v>
          </cell>
          <cell r="N57">
            <v>1</v>
          </cell>
          <cell r="Q57">
            <v>1</v>
          </cell>
          <cell r="R57" t="str">
            <v>9e</v>
          </cell>
          <cell r="S57">
            <v>0.1</v>
          </cell>
          <cell r="T57" t="str">
            <v>9e</v>
          </cell>
          <cell r="U57">
            <v>1</v>
          </cell>
          <cell r="V57" t="str">
            <v>9e</v>
          </cell>
          <cell r="W57">
            <v>0.1</v>
          </cell>
          <cell r="X57" t="str">
            <v>9e</v>
          </cell>
          <cell r="Y57" t="str">
            <v>NC</v>
          </cell>
          <cell r="AA57" t="str">
            <v>NC</v>
          </cell>
          <cell r="AC57">
            <v>1</v>
          </cell>
          <cell r="AD57">
            <v>9</v>
          </cell>
          <cell r="AE57">
            <v>1</v>
          </cell>
          <cell r="AF57">
            <v>9</v>
          </cell>
          <cell r="AK57">
            <v>1</v>
          </cell>
          <cell r="AL57" t="str">
            <v>NC</v>
          </cell>
          <cell r="AO57">
            <v>0</v>
          </cell>
          <cell r="AU57">
            <v>0</v>
          </cell>
          <cell r="AW57">
            <v>0</v>
          </cell>
          <cell r="AX57">
            <v>0.66</v>
          </cell>
          <cell r="AY57">
            <v>1.5</v>
          </cell>
          <cell r="AZ57">
            <v>4000000</v>
          </cell>
          <cell r="BA57">
            <v>22</v>
          </cell>
          <cell r="BB57">
            <v>1.97E-7</v>
          </cell>
          <cell r="BC57">
            <v>22</v>
          </cell>
          <cell r="BD57">
            <v>8.0618759207726302E-6</v>
          </cell>
          <cell r="BE57">
            <v>194</v>
          </cell>
          <cell r="BF57">
            <v>15</v>
          </cell>
          <cell r="BH57">
            <v>1.6</v>
          </cell>
          <cell r="BI57">
            <v>16</v>
          </cell>
          <cell r="BJ57">
            <v>3.0902964418001324</v>
          </cell>
          <cell r="BK57" t="str">
            <v>calc</v>
          </cell>
          <cell r="BO57">
            <v>1.477746706171992E-3</v>
          </cell>
          <cell r="BS57">
            <v>1000</v>
          </cell>
          <cell r="BT57" t="str">
            <v>Ceiling (High)</v>
          </cell>
          <cell r="BV57">
            <v>3000</v>
          </cell>
          <cell r="BW57" t="str">
            <v>Ceiling (High)</v>
          </cell>
          <cell r="BY57">
            <v>5000</v>
          </cell>
          <cell r="BZ57" t="str">
            <v>Ceiling (High)</v>
          </cell>
          <cell r="CA57">
            <v>50000</v>
          </cell>
          <cell r="CB57" t="str">
            <v>0.005%</v>
          </cell>
        </row>
        <row r="58">
          <cell r="A58" t="str">
            <v>DIMETHYLPHENOL, 2,4-</v>
          </cell>
          <cell r="B58" t="str">
            <v>105-67-9</v>
          </cell>
          <cell r="C58">
            <v>42922</v>
          </cell>
          <cell r="D58">
            <v>0.02</v>
          </cell>
          <cell r="E58">
            <v>1</v>
          </cell>
          <cell r="F58">
            <v>0.05</v>
          </cell>
          <cell r="G58">
            <v>6</v>
          </cell>
          <cell r="H58">
            <v>7.0000000000000007E-2</v>
          </cell>
          <cell r="I58" t="str">
            <v>7b</v>
          </cell>
          <cell r="J58">
            <v>0.2</v>
          </cell>
          <cell r="K58" t="str">
            <v>7b</v>
          </cell>
          <cell r="Q58">
            <v>1</v>
          </cell>
          <cell r="R58" t="str">
            <v>9e</v>
          </cell>
          <cell r="S58">
            <v>0.3</v>
          </cell>
          <cell r="T58" t="str">
            <v>9b</v>
          </cell>
          <cell r="U58">
            <v>1</v>
          </cell>
          <cell r="V58" t="str">
            <v>9e</v>
          </cell>
          <cell r="W58">
            <v>0.3</v>
          </cell>
          <cell r="X58" t="str">
            <v>9b</v>
          </cell>
          <cell r="Y58" t="str">
            <v>NC</v>
          </cell>
          <cell r="AA58" t="str">
            <v>NC</v>
          </cell>
          <cell r="AC58">
            <v>1</v>
          </cell>
          <cell r="AD58">
            <v>9</v>
          </cell>
          <cell r="AE58">
            <v>1</v>
          </cell>
          <cell r="AF58">
            <v>9</v>
          </cell>
          <cell r="AK58">
            <v>1</v>
          </cell>
          <cell r="AL58" t="str">
            <v>NC</v>
          </cell>
          <cell r="AO58">
            <v>0</v>
          </cell>
          <cell r="AR58">
            <v>400</v>
          </cell>
          <cell r="AS58">
            <v>24</v>
          </cell>
          <cell r="AT58">
            <v>1</v>
          </cell>
          <cell r="AU58">
            <v>2.0042034468263973E-4</v>
          </cell>
          <cell r="AV58">
            <v>24</v>
          </cell>
          <cell r="AW58">
            <v>0</v>
          </cell>
          <cell r="AX58">
            <v>0.66</v>
          </cell>
          <cell r="AY58">
            <v>13.5</v>
          </cell>
          <cell r="AZ58">
            <v>7870000</v>
          </cell>
          <cell r="BA58">
            <v>22</v>
          </cell>
          <cell r="BB58">
            <v>9.5099999999999998E-7</v>
          </cell>
          <cell r="BC58">
            <v>22</v>
          </cell>
          <cell r="BD58">
            <v>3.8917989851039453E-5</v>
          </cell>
          <cell r="BE58">
            <v>122</v>
          </cell>
          <cell r="BF58">
            <v>15</v>
          </cell>
          <cell r="BH58">
            <v>2.2999999999999998</v>
          </cell>
          <cell r="BI58">
            <v>16</v>
          </cell>
          <cell r="BJ58">
            <v>209</v>
          </cell>
          <cell r="BK58" t="str">
            <v>17b</v>
          </cell>
          <cell r="BL58">
            <v>24.5</v>
          </cell>
          <cell r="BM58">
            <v>17</v>
          </cell>
          <cell r="BO58">
            <v>1.0834278621501391E-2</v>
          </cell>
          <cell r="BS58">
            <v>1000</v>
          </cell>
          <cell r="BT58" t="str">
            <v>Ceiling (High)</v>
          </cell>
          <cell r="BV58">
            <v>3000</v>
          </cell>
          <cell r="BW58" t="str">
            <v>Ceiling (High)</v>
          </cell>
          <cell r="BY58">
            <v>5000</v>
          </cell>
          <cell r="BZ58" t="str">
            <v>Ceiling (High)</v>
          </cell>
          <cell r="CA58">
            <v>50000</v>
          </cell>
          <cell r="CB58" t="str">
            <v>0.005%</v>
          </cell>
        </row>
        <row r="59">
          <cell r="A59" t="str">
            <v>DINITROPHENOL, 2,4-</v>
          </cell>
          <cell r="B59" t="str">
            <v>51-28-5</v>
          </cell>
          <cell r="C59">
            <v>42922</v>
          </cell>
          <cell r="D59">
            <v>2E-3</v>
          </cell>
          <cell r="E59">
            <v>1</v>
          </cell>
          <cell r="F59">
            <v>0.02</v>
          </cell>
          <cell r="G59">
            <v>6</v>
          </cell>
          <cell r="H59">
            <v>7.000000000000001E-3</v>
          </cell>
          <cell r="I59" t="str">
            <v>7b</v>
          </cell>
          <cell r="J59">
            <v>7.0000000000000007E-2</v>
          </cell>
          <cell r="K59" t="str">
            <v>7b</v>
          </cell>
          <cell r="Q59">
            <v>1</v>
          </cell>
          <cell r="R59" t="str">
            <v>9e</v>
          </cell>
          <cell r="S59">
            <v>0.3</v>
          </cell>
          <cell r="T59" t="str">
            <v>9b</v>
          </cell>
          <cell r="U59">
            <v>1</v>
          </cell>
          <cell r="V59" t="str">
            <v>9e</v>
          </cell>
          <cell r="W59">
            <v>0.3</v>
          </cell>
          <cell r="X59" t="str">
            <v>9b</v>
          </cell>
          <cell r="Y59" t="str">
            <v>NC</v>
          </cell>
          <cell r="AA59" t="str">
            <v>NC</v>
          </cell>
          <cell r="AC59">
            <v>1</v>
          </cell>
          <cell r="AD59">
            <v>9</v>
          </cell>
          <cell r="AE59">
            <v>1</v>
          </cell>
          <cell r="AF59">
            <v>9</v>
          </cell>
          <cell r="AK59">
            <v>1</v>
          </cell>
          <cell r="AL59" t="str">
            <v>NC</v>
          </cell>
          <cell r="AO59">
            <v>0</v>
          </cell>
          <cell r="AU59">
            <v>0</v>
          </cell>
          <cell r="AW59">
            <v>0</v>
          </cell>
          <cell r="AX59">
            <v>3.3</v>
          </cell>
          <cell r="AY59">
            <v>210</v>
          </cell>
          <cell r="AZ59">
            <v>2790000</v>
          </cell>
          <cell r="BA59">
            <v>22</v>
          </cell>
          <cell r="BB59">
            <v>8.6000000000000002E-8</v>
          </cell>
          <cell r="BC59">
            <v>22</v>
          </cell>
          <cell r="BD59">
            <v>3.5193976100834837E-6</v>
          </cell>
          <cell r="BE59">
            <v>184</v>
          </cell>
          <cell r="BF59">
            <v>11</v>
          </cell>
          <cell r="BH59">
            <v>1.67</v>
          </cell>
          <cell r="BI59">
            <v>17</v>
          </cell>
          <cell r="BJ59">
            <v>0.01</v>
          </cell>
          <cell r="BK59" t="str">
            <v>17b</v>
          </cell>
          <cell r="BL59">
            <v>115</v>
          </cell>
          <cell r="BM59">
            <v>17</v>
          </cell>
          <cell r="BO59">
            <v>1.8698208577366485E-3</v>
          </cell>
          <cell r="BS59">
            <v>1000</v>
          </cell>
          <cell r="BT59" t="str">
            <v>Ceiling (High)</v>
          </cell>
          <cell r="BV59">
            <v>3000</v>
          </cell>
          <cell r="BW59" t="str">
            <v>Ceiling (High)</v>
          </cell>
          <cell r="BY59">
            <v>5000</v>
          </cell>
          <cell r="BZ59" t="str">
            <v>Ceiling (High)</v>
          </cell>
          <cell r="CA59">
            <v>50000</v>
          </cell>
          <cell r="CB59" t="str">
            <v>0.005%</v>
          </cell>
        </row>
        <row r="60">
          <cell r="A60" t="str">
            <v>DINITROTOLUENE, 2,4-</v>
          </cell>
          <cell r="B60" t="str">
            <v>121-14-2</v>
          </cell>
          <cell r="C60">
            <v>42922</v>
          </cell>
          <cell r="D60">
            <v>0.02</v>
          </cell>
          <cell r="E60">
            <v>1</v>
          </cell>
          <cell r="F60">
            <v>2E-3</v>
          </cell>
          <cell r="G60">
            <v>2</v>
          </cell>
          <cell r="H60">
            <v>7.000000000000001E-3</v>
          </cell>
          <cell r="I60" t="str">
            <v>7b</v>
          </cell>
          <cell r="J60">
            <v>7.000000000000001E-3</v>
          </cell>
          <cell r="K60" t="str">
            <v>7c</v>
          </cell>
          <cell r="L60">
            <v>0.68</v>
          </cell>
          <cell r="M60" t="str">
            <v>B2</v>
          </cell>
          <cell r="N60" t="str">
            <v>1a</v>
          </cell>
          <cell r="O60">
            <v>1.9428571428571433E-4</v>
          </cell>
          <cell r="P60" t="str">
            <v>7a</v>
          </cell>
          <cell r="Q60">
            <v>1</v>
          </cell>
          <cell r="R60" t="str">
            <v>9e</v>
          </cell>
          <cell r="S60">
            <v>0.1</v>
          </cell>
          <cell r="T60" t="str">
            <v>9e</v>
          </cell>
          <cell r="U60">
            <v>1</v>
          </cell>
          <cell r="V60" t="str">
            <v>9e</v>
          </cell>
          <cell r="W60">
            <v>0.1</v>
          </cell>
          <cell r="X60" t="str">
            <v>9e</v>
          </cell>
          <cell r="Y60">
            <v>1</v>
          </cell>
          <cell r="Z60" t="str">
            <v>9e</v>
          </cell>
          <cell r="AA60">
            <v>0.1</v>
          </cell>
          <cell r="AB60" t="str">
            <v>9e</v>
          </cell>
          <cell r="AC60">
            <v>1</v>
          </cell>
          <cell r="AD60">
            <v>9</v>
          </cell>
          <cell r="AE60">
            <v>1</v>
          </cell>
          <cell r="AF60">
            <v>9</v>
          </cell>
          <cell r="AG60">
            <v>1</v>
          </cell>
          <cell r="AH60">
            <v>9</v>
          </cell>
          <cell r="AK60">
            <v>0.9</v>
          </cell>
          <cell r="AL60">
            <v>0.9</v>
          </cell>
          <cell r="AO60">
            <v>0</v>
          </cell>
          <cell r="AU60">
            <v>0</v>
          </cell>
          <cell r="AW60">
            <v>0</v>
          </cell>
          <cell r="AX60">
            <v>0.66</v>
          </cell>
          <cell r="AY60">
            <v>28.5</v>
          </cell>
          <cell r="AZ60">
            <v>270000</v>
          </cell>
          <cell r="BA60">
            <v>22</v>
          </cell>
          <cell r="BB60">
            <v>5.4E-8</v>
          </cell>
          <cell r="BC60">
            <v>22</v>
          </cell>
          <cell r="BD60">
            <v>2.209854313308234E-6</v>
          </cell>
          <cell r="BE60">
            <v>182</v>
          </cell>
          <cell r="BF60">
            <v>13</v>
          </cell>
          <cell r="BG60">
            <v>5.1000000000000004E-3</v>
          </cell>
          <cell r="BH60">
            <v>1.98</v>
          </cell>
          <cell r="BI60">
            <v>16</v>
          </cell>
          <cell r="BJ60">
            <v>95.5</v>
          </cell>
          <cell r="BK60" t="str">
            <v>17b</v>
          </cell>
          <cell r="BL60">
            <v>71</v>
          </cell>
          <cell r="BM60">
            <v>17</v>
          </cell>
          <cell r="BO60">
            <v>3.0732649292042956E-3</v>
          </cell>
          <cell r="BS60">
            <v>1000</v>
          </cell>
          <cell r="BT60" t="str">
            <v>Ceiling (High)</v>
          </cell>
          <cell r="BV60">
            <v>3000</v>
          </cell>
          <cell r="BW60" t="str">
            <v>Ceiling (High)</v>
          </cell>
          <cell r="BY60">
            <v>5000</v>
          </cell>
          <cell r="BZ60" t="str">
            <v>Ceiling (High)</v>
          </cell>
          <cell r="CA60">
            <v>50000</v>
          </cell>
          <cell r="CB60" t="str">
            <v>0.005%</v>
          </cell>
        </row>
        <row r="61">
          <cell r="A61" t="str">
            <v>DIOXANE, 1,4-</v>
          </cell>
          <cell r="B61" t="str">
            <v>123-91-1</v>
          </cell>
          <cell r="C61">
            <v>42922</v>
          </cell>
          <cell r="D61">
            <v>0.03</v>
          </cell>
          <cell r="E61">
            <v>1</v>
          </cell>
          <cell r="F61">
            <v>0.03</v>
          </cell>
          <cell r="G61" t="str">
            <v>1d</v>
          </cell>
          <cell r="H61">
            <v>0.03</v>
          </cell>
          <cell r="I61">
            <v>1</v>
          </cell>
          <cell r="J61">
            <v>0.03</v>
          </cell>
          <cell r="K61" t="str">
            <v>7c</v>
          </cell>
          <cell r="L61">
            <v>0.1</v>
          </cell>
          <cell r="M61" t="str">
            <v>B2</v>
          </cell>
          <cell r="N61">
            <v>1</v>
          </cell>
          <cell r="O61">
            <v>5.0000000000000004E-6</v>
          </cell>
          <cell r="P61">
            <v>1</v>
          </cell>
          <cell r="Q61">
            <v>1</v>
          </cell>
          <cell r="R61" t="str">
            <v>9e</v>
          </cell>
          <cell r="S61">
            <v>0.03</v>
          </cell>
          <cell r="T61" t="str">
            <v>9e</v>
          </cell>
          <cell r="U61">
            <v>1</v>
          </cell>
          <cell r="V61" t="str">
            <v>9e</v>
          </cell>
          <cell r="W61">
            <v>0.03</v>
          </cell>
          <cell r="X61" t="str">
            <v>9e</v>
          </cell>
          <cell r="Y61">
            <v>1</v>
          </cell>
          <cell r="Z61" t="str">
            <v>9e</v>
          </cell>
          <cell r="AA61">
            <v>0.03</v>
          </cell>
          <cell r="AB61" t="str">
            <v>9e</v>
          </cell>
          <cell r="AC61">
            <v>1</v>
          </cell>
          <cell r="AD61">
            <v>9</v>
          </cell>
          <cell r="AE61">
            <v>1</v>
          </cell>
          <cell r="AF61">
            <v>9</v>
          </cell>
          <cell r="AG61">
            <v>1</v>
          </cell>
          <cell r="AH61">
            <v>9</v>
          </cell>
          <cell r="AK61">
            <v>1</v>
          </cell>
          <cell r="AL61">
            <v>1</v>
          </cell>
          <cell r="AO61">
            <v>0.33</v>
          </cell>
          <cell r="AQ61">
            <v>9.1999999999999998E-2</v>
          </cell>
          <cell r="AU61">
            <v>24</v>
          </cell>
          <cell r="AV61">
            <v>16</v>
          </cell>
          <cell r="AW61">
            <v>0</v>
          </cell>
          <cell r="AX61">
            <v>0.15</v>
          </cell>
          <cell r="AY61">
            <v>0.04</v>
          </cell>
          <cell r="AZ61">
            <v>1000000000</v>
          </cell>
          <cell r="BA61">
            <v>22</v>
          </cell>
          <cell r="BB61">
            <v>4.7999999999999998E-6</v>
          </cell>
          <cell r="BC61">
            <v>22</v>
          </cell>
          <cell r="BD61">
            <v>1.9643149451628743E-4</v>
          </cell>
          <cell r="BE61">
            <v>88</v>
          </cell>
          <cell r="BF61">
            <v>16</v>
          </cell>
          <cell r="BG61">
            <v>29</v>
          </cell>
          <cell r="BH61">
            <v>-0.27</v>
          </cell>
          <cell r="BI61">
            <v>19</v>
          </cell>
          <cell r="BJ61">
            <v>3.47</v>
          </cell>
          <cell r="BK61">
            <v>21</v>
          </cell>
          <cell r="BL61">
            <v>11.8</v>
          </cell>
          <cell r="BM61">
            <v>16</v>
          </cell>
          <cell r="BO61">
            <v>3.3806483620598174E-4</v>
          </cell>
          <cell r="BS61">
            <v>100</v>
          </cell>
          <cell r="BT61" t="str">
            <v>Ceiling (Low)</v>
          </cell>
          <cell r="BV61">
            <v>500</v>
          </cell>
          <cell r="BW61" t="str">
            <v>Ceiling (Low)</v>
          </cell>
          <cell r="BY61">
            <v>500</v>
          </cell>
          <cell r="BZ61" t="str">
            <v>High Volatility</v>
          </cell>
          <cell r="CA61">
            <v>50000</v>
          </cell>
          <cell r="CB61" t="str">
            <v>0.005%</v>
          </cell>
        </row>
        <row r="62">
          <cell r="A62" t="str">
            <v>ENDOSULFAN</v>
          </cell>
          <cell r="B62" t="str">
            <v>115-29-7</v>
          </cell>
          <cell r="C62">
            <v>42923</v>
          </cell>
          <cell r="D62">
            <v>6.0000000000000001E-3</v>
          </cell>
          <cell r="E62">
            <v>1</v>
          </cell>
          <cell r="F62">
            <v>6.0000000000000001E-3</v>
          </cell>
          <cell r="G62">
            <v>2</v>
          </cell>
          <cell r="H62">
            <v>2.1000000000000001E-2</v>
          </cell>
          <cell r="I62" t="str">
            <v>7b</v>
          </cell>
          <cell r="J62">
            <v>2.1000000000000001E-2</v>
          </cell>
          <cell r="K62" t="str">
            <v>7c</v>
          </cell>
          <cell r="Q62">
            <v>1</v>
          </cell>
          <cell r="R62" t="str">
            <v>9e</v>
          </cell>
          <cell r="S62">
            <v>0.1</v>
          </cell>
          <cell r="T62" t="str">
            <v>9e</v>
          </cell>
          <cell r="U62">
            <v>1</v>
          </cell>
          <cell r="V62" t="str">
            <v>9e</v>
          </cell>
          <cell r="W62">
            <v>0.1</v>
          </cell>
          <cell r="X62" t="str">
            <v>9e</v>
          </cell>
          <cell r="Y62" t="str">
            <v>NC</v>
          </cell>
          <cell r="AA62" t="str">
            <v>NC</v>
          </cell>
          <cell r="AC62">
            <v>1</v>
          </cell>
          <cell r="AD62">
            <v>9</v>
          </cell>
          <cell r="AE62">
            <v>1</v>
          </cell>
          <cell r="AF62">
            <v>9</v>
          </cell>
          <cell r="AK62">
            <v>1</v>
          </cell>
          <cell r="AL62" t="str">
            <v>NC</v>
          </cell>
          <cell r="AO62">
            <v>0</v>
          </cell>
          <cell r="AU62">
            <v>0</v>
          </cell>
          <cell r="AW62">
            <v>0</v>
          </cell>
          <cell r="AX62">
            <v>9.3800000000000012E-3</v>
          </cell>
          <cell r="AY62">
            <v>0.12</v>
          </cell>
          <cell r="AZ62">
            <v>325</v>
          </cell>
          <cell r="BA62">
            <v>22</v>
          </cell>
          <cell r="BB62">
            <v>6.4999999999999994E-5</v>
          </cell>
          <cell r="BC62">
            <v>22</v>
          </cell>
          <cell r="BD62">
            <v>2.6600098215747259E-3</v>
          </cell>
          <cell r="BE62">
            <v>407</v>
          </cell>
          <cell r="BF62">
            <v>13</v>
          </cell>
          <cell r="BG62">
            <v>1.0000000000000001E-5</v>
          </cell>
          <cell r="BH62">
            <v>3.83</v>
          </cell>
          <cell r="BI62">
            <v>17</v>
          </cell>
          <cell r="BJ62">
            <v>2040</v>
          </cell>
          <cell r="BK62" t="str">
            <v>17a</v>
          </cell>
          <cell r="BL62">
            <v>106</v>
          </cell>
          <cell r="BM62">
            <v>17</v>
          </cell>
          <cell r="BO62">
            <v>2.8093121663317761E-3</v>
          </cell>
          <cell r="BS62">
            <v>1000</v>
          </cell>
          <cell r="BT62" t="str">
            <v>Ceiling (High)</v>
          </cell>
          <cell r="BV62">
            <v>3000</v>
          </cell>
          <cell r="BW62" t="str">
            <v>Ceiling (High)</v>
          </cell>
          <cell r="BY62">
            <v>5000</v>
          </cell>
          <cell r="BZ62" t="str">
            <v>Ceiling (High)</v>
          </cell>
          <cell r="CA62">
            <v>50000</v>
          </cell>
          <cell r="CB62" t="str">
            <v>0.005%</v>
          </cell>
        </row>
        <row r="63">
          <cell r="A63" t="str">
            <v>ENDRIN</v>
          </cell>
          <cell r="B63" t="str">
            <v>72-20-8</v>
          </cell>
          <cell r="C63">
            <v>42923</v>
          </cell>
          <cell r="D63">
            <v>2.9999999999999997E-4</v>
          </cell>
          <cell r="E63">
            <v>1</v>
          </cell>
          <cell r="F63">
            <v>2.9999999999999997E-4</v>
          </cell>
          <cell r="G63">
            <v>2</v>
          </cell>
          <cell r="H63">
            <v>1.1000000000000001E-3</v>
          </cell>
          <cell r="I63" t="str">
            <v>7b</v>
          </cell>
          <cell r="J63">
            <v>1.1000000000000001E-3</v>
          </cell>
          <cell r="K63" t="str">
            <v>7c</v>
          </cell>
          <cell r="M63" t="str">
            <v>D</v>
          </cell>
          <cell r="N63">
            <v>1</v>
          </cell>
          <cell r="Q63">
            <v>1</v>
          </cell>
          <cell r="R63" t="str">
            <v>9e</v>
          </cell>
          <cell r="S63">
            <v>0.1</v>
          </cell>
          <cell r="T63" t="str">
            <v>9e</v>
          </cell>
          <cell r="U63">
            <v>1</v>
          </cell>
          <cell r="V63" t="str">
            <v>9e</v>
          </cell>
          <cell r="W63">
            <v>0.1</v>
          </cell>
          <cell r="X63" t="str">
            <v>9e</v>
          </cell>
          <cell r="Y63" t="str">
            <v>NC</v>
          </cell>
          <cell r="AA63" t="str">
            <v>NC</v>
          </cell>
          <cell r="AC63">
            <v>1</v>
          </cell>
          <cell r="AD63">
            <v>9</v>
          </cell>
          <cell r="AE63">
            <v>1</v>
          </cell>
          <cell r="AF63">
            <v>9</v>
          </cell>
          <cell r="AK63">
            <v>0.8</v>
          </cell>
          <cell r="AL63" t="str">
            <v>NC</v>
          </cell>
          <cell r="AO63">
            <v>0</v>
          </cell>
          <cell r="AR63">
            <v>41</v>
          </cell>
          <cell r="AS63">
            <v>13</v>
          </cell>
          <cell r="AU63">
            <v>0</v>
          </cell>
          <cell r="AW63">
            <v>0</v>
          </cell>
          <cell r="AX63">
            <v>4.0199999999999993E-3</v>
          </cell>
          <cell r="AY63">
            <v>5</v>
          </cell>
          <cell r="AZ63">
            <v>250</v>
          </cell>
          <cell r="BA63">
            <v>22</v>
          </cell>
          <cell r="BB63">
            <v>6.3600000000000001E-6</v>
          </cell>
          <cell r="BC63">
            <v>22</v>
          </cell>
          <cell r="BD63">
            <v>2.602717302340809E-4</v>
          </cell>
          <cell r="BE63">
            <v>381</v>
          </cell>
          <cell r="BF63">
            <v>13</v>
          </cell>
          <cell r="BG63">
            <v>1.9999999999999999E-7</v>
          </cell>
          <cell r="BH63">
            <v>5.2</v>
          </cell>
          <cell r="BI63">
            <v>16</v>
          </cell>
          <cell r="BJ63">
            <v>10800</v>
          </cell>
          <cell r="BK63" t="str">
            <v>17a</v>
          </cell>
          <cell r="BL63">
            <v>200</v>
          </cell>
          <cell r="BM63">
            <v>17</v>
          </cell>
          <cell r="BO63">
            <v>3.1506488329723976E-2</v>
          </cell>
          <cell r="BS63">
            <v>1000</v>
          </cell>
          <cell r="BT63" t="str">
            <v>Ceiling (High)</v>
          </cell>
          <cell r="BV63">
            <v>3000</v>
          </cell>
          <cell r="BW63" t="str">
            <v>Ceiling (High)</v>
          </cell>
          <cell r="BY63">
            <v>5000</v>
          </cell>
          <cell r="BZ63" t="str">
            <v>Ceiling (High)</v>
          </cell>
          <cell r="CA63">
            <v>50000</v>
          </cell>
          <cell r="CB63" t="str">
            <v>0.005%</v>
          </cell>
        </row>
        <row r="64">
          <cell r="A64" t="str">
            <v>ETHYLBENZENE</v>
          </cell>
          <cell r="B64" t="str">
            <v>100-41-4</v>
          </cell>
          <cell r="C64">
            <v>42923</v>
          </cell>
          <cell r="D64">
            <v>0.05</v>
          </cell>
          <cell r="E64" t="str">
            <v>6a</v>
          </cell>
          <cell r="F64">
            <v>0.05</v>
          </cell>
          <cell r="G64">
            <v>6</v>
          </cell>
          <cell r="H64">
            <v>1</v>
          </cell>
          <cell r="I64">
            <v>1</v>
          </cell>
          <cell r="J64">
            <v>9</v>
          </cell>
          <cell r="K64">
            <v>6</v>
          </cell>
          <cell r="Q64">
            <v>1</v>
          </cell>
          <cell r="R64" t="str">
            <v>9e</v>
          </cell>
          <cell r="S64">
            <v>0.03</v>
          </cell>
          <cell r="T64" t="str">
            <v>9e</v>
          </cell>
          <cell r="U64">
            <v>1</v>
          </cell>
          <cell r="V64" t="str">
            <v>9e</v>
          </cell>
          <cell r="W64">
            <v>0.03</v>
          </cell>
          <cell r="X64" t="str">
            <v>9e</v>
          </cell>
          <cell r="Y64" t="str">
            <v>NC</v>
          </cell>
          <cell r="AA64">
            <v>0.03</v>
          </cell>
          <cell r="AC64">
            <v>1</v>
          </cell>
          <cell r="AD64">
            <v>9</v>
          </cell>
          <cell r="AE64">
            <v>1</v>
          </cell>
          <cell r="AF64">
            <v>9</v>
          </cell>
          <cell r="AG64">
            <v>1</v>
          </cell>
          <cell r="AH64">
            <v>9</v>
          </cell>
          <cell r="AK64">
            <v>1</v>
          </cell>
          <cell r="AL64">
            <v>1</v>
          </cell>
          <cell r="AO64">
            <v>7.4</v>
          </cell>
          <cell r="AP64">
            <v>20</v>
          </cell>
          <cell r="AQ64">
            <v>2.218</v>
          </cell>
          <cell r="AR64">
            <v>29</v>
          </cell>
          <cell r="AS64">
            <v>13</v>
          </cell>
          <cell r="AT64">
            <v>2000</v>
          </cell>
          <cell r="AU64">
            <v>0.46134494436381224</v>
          </cell>
          <cell r="AV64">
            <v>13</v>
          </cell>
          <cell r="AW64">
            <v>21.675755033557049</v>
          </cell>
          <cell r="AX64">
            <v>0.1</v>
          </cell>
          <cell r="AY64">
            <v>0.3</v>
          </cell>
          <cell r="AZ64">
            <v>169000</v>
          </cell>
          <cell r="BA64">
            <v>22</v>
          </cell>
          <cell r="BB64">
            <v>7.8799999999999999E-3</v>
          </cell>
          <cell r="BC64">
            <v>22</v>
          </cell>
          <cell r="BD64">
            <v>0.32247503683090523</v>
          </cell>
          <cell r="BE64">
            <v>106</v>
          </cell>
          <cell r="BF64">
            <v>13</v>
          </cell>
          <cell r="BG64">
            <v>10</v>
          </cell>
          <cell r="BH64">
            <v>3.15</v>
          </cell>
          <cell r="BI64">
            <v>16</v>
          </cell>
          <cell r="BJ64">
            <v>204</v>
          </cell>
          <cell r="BK64" t="str">
            <v>17a</v>
          </cell>
          <cell r="BL64">
            <v>-94.9</v>
          </cell>
          <cell r="BM64">
            <v>17</v>
          </cell>
          <cell r="BO64">
            <v>4.8461851224018325E-2</v>
          </cell>
          <cell r="BS64">
            <v>500</v>
          </cell>
          <cell r="BT64" t="str">
            <v>Ceiling (Medium)</v>
          </cell>
          <cell r="BV64">
            <v>1000</v>
          </cell>
          <cell r="BW64" t="str">
            <v>Ceiling (Medium)</v>
          </cell>
          <cell r="BY64">
            <v>3000</v>
          </cell>
          <cell r="BZ64" t="str">
            <v>Ceiling (Medium)</v>
          </cell>
          <cell r="CA64">
            <v>50000</v>
          </cell>
          <cell r="CB64" t="str">
            <v>0.005%</v>
          </cell>
        </row>
        <row r="65">
          <cell r="A65" t="str">
            <v>ETHYLENE DIBROMIDE</v>
          </cell>
          <cell r="B65" t="str">
            <v>106-93-4</v>
          </cell>
          <cell r="C65">
            <v>42922</v>
          </cell>
          <cell r="D65">
            <v>8.9999999999999993E-3</v>
          </cell>
          <cell r="E65">
            <v>1</v>
          </cell>
          <cell r="F65">
            <v>8.9999999999999993E-3</v>
          </cell>
          <cell r="G65" t="str">
            <v>1d</v>
          </cell>
          <cell r="H65">
            <v>8.9999999999999993E-3</v>
          </cell>
          <cell r="I65">
            <v>1</v>
          </cell>
          <cell r="J65">
            <v>8.9999999999999993E-3</v>
          </cell>
          <cell r="K65" t="str">
            <v>7c</v>
          </cell>
          <cell r="L65">
            <v>2</v>
          </cell>
          <cell r="M65" t="str">
            <v>B2</v>
          </cell>
          <cell r="N65">
            <v>1</v>
          </cell>
          <cell r="O65">
            <v>2.9999999999999997E-4</v>
          </cell>
          <cell r="P65">
            <v>1</v>
          </cell>
          <cell r="Q65">
            <v>1</v>
          </cell>
          <cell r="R65" t="str">
            <v>9e</v>
          </cell>
          <cell r="S65">
            <v>0.03</v>
          </cell>
          <cell r="T65" t="str">
            <v>9e</v>
          </cell>
          <cell r="U65">
            <v>1</v>
          </cell>
          <cell r="V65" t="str">
            <v>9e</v>
          </cell>
          <cell r="W65">
            <v>0.03</v>
          </cell>
          <cell r="X65" t="str">
            <v>9e</v>
          </cell>
          <cell r="Y65">
            <v>1</v>
          </cell>
          <cell r="Z65" t="str">
            <v>9e</v>
          </cell>
          <cell r="AA65">
            <v>0.03</v>
          </cell>
          <cell r="AB65" t="str">
            <v>9e</v>
          </cell>
          <cell r="AC65">
            <v>1</v>
          </cell>
          <cell r="AD65">
            <v>9</v>
          </cell>
          <cell r="AE65">
            <v>1</v>
          </cell>
          <cell r="AF65">
            <v>9</v>
          </cell>
          <cell r="AG65">
            <v>1</v>
          </cell>
          <cell r="AH65">
            <v>9</v>
          </cell>
          <cell r="AK65">
            <v>1</v>
          </cell>
          <cell r="AL65">
            <v>1</v>
          </cell>
          <cell r="AO65">
            <v>0</v>
          </cell>
          <cell r="AT65">
            <v>200000</v>
          </cell>
          <cell r="AU65">
            <v>26.012002182214946</v>
          </cell>
          <cell r="AV65">
            <v>24</v>
          </cell>
          <cell r="AW65">
            <v>0.46132550335570471</v>
          </cell>
          <cell r="AX65">
            <v>0.1</v>
          </cell>
          <cell r="AY65">
            <v>0.3</v>
          </cell>
          <cell r="AZ65">
            <v>3910000</v>
          </cell>
          <cell r="BA65">
            <v>22</v>
          </cell>
          <cell r="BB65">
            <v>6.4999999999999997E-4</v>
          </cell>
          <cell r="BC65">
            <v>22</v>
          </cell>
          <cell r="BD65">
            <v>2.6600098215747256E-2</v>
          </cell>
          <cell r="BE65">
            <v>188</v>
          </cell>
          <cell r="BF65">
            <v>11</v>
          </cell>
          <cell r="BG65">
            <v>12</v>
          </cell>
          <cell r="BH65">
            <v>1.96</v>
          </cell>
          <cell r="BI65">
            <v>16</v>
          </cell>
          <cell r="BJ65">
            <v>44</v>
          </cell>
          <cell r="BK65">
            <v>11</v>
          </cell>
          <cell r="BO65">
            <v>2.7593068558175102E-3</v>
          </cell>
          <cell r="BS65">
            <v>500</v>
          </cell>
          <cell r="BT65" t="str">
            <v>Ceiling (Medium)</v>
          </cell>
          <cell r="BV65">
            <v>1000</v>
          </cell>
          <cell r="BW65" t="str">
            <v>Ceiling (Medium)</v>
          </cell>
          <cell r="BY65">
            <v>3000</v>
          </cell>
          <cell r="BZ65" t="str">
            <v>Ceiling (Medium)</v>
          </cell>
          <cell r="CA65">
            <v>50000</v>
          </cell>
          <cell r="CB65" t="str">
            <v>0.005%</v>
          </cell>
        </row>
        <row r="66">
          <cell r="A66" t="str">
            <v>FLUORANTHENE</v>
          </cell>
          <cell r="B66" t="str">
            <v>206-44-0</v>
          </cell>
          <cell r="C66">
            <v>42922</v>
          </cell>
          <cell r="D66">
            <v>0.04</v>
          </cell>
          <cell r="E66">
            <v>1</v>
          </cell>
          <cell r="F66">
            <v>0.1</v>
          </cell>
          <cell r="G66">
            <v>6</v>
          </cell>
          <cell r="H66">
            <v>0.05</v>
          </cell>
          <cell r="I66" t="str">
            <v>5d</v>
          </cell>
          <cell r="J66">
            <v>0.5</v>
          </cell>
          <cell r="K66" t="str">
            <v>5d</v>
          </cell>
          <cell r="M66" t="str">
            <v>D</v>
          </cell>
          <cell r="N66">
            <v>1</v>
          </cell>
          <cell r="Q66">
            <v>0.3</v>
          </cell>
          <cell r="R66" t="str">
            <v>9d</v>
          </cell>
          <cell r="S66">
            <v>0.1</v>
          </cell>
          <cell r="T66" t="str">
            <v>9d</v>
          </cell>
          <cell r="U66">
            <v>0.3</v>
          </cell>
          <cell r="V66" t="str">
            <v>9d</v>
          </cell>
          <cell r="W66">
            <v>0.1</v>
          </cell>
          <cell r="X66" t="str">
            <v>9d</v>
          </cell>
          <cell r="Y66" t="str">
            <v>NC</v>
          </cell>
          <cell r="AA66" t="str">
            <v>NC</v>
          </cell>
          <cell r="AC66">
            <v>1</v>
          </cell>
          <cell r="AD66">
            <v>9</v>
          </cell>
          <cell r="AE66">
            <v>1</v>
          </cell>
          <cell r="AF66">
            <v>9</v>
          </cell>
          <cell r="AI66">
            <v>10</v>
          </cell>
          <cell r="AK66">
            <v>0.92</v>
          </cell>
          <cell r="AL66" t="str">
            <v>NC</v>
          </cell>
          <cell r="AM66">
            <v>4</v>
          </cell>
          <cell r="AO66">
            <v>0</v>
          </cell>
          <cell r="AU66">
            <v>0</v>
          </cell>
          <cell r="AW66">
            <v>0</v>
          </cell>
          <cell r="AX66">
            <v>0.66</v>
          </cell>
          <cell r="AY66">
            <v>11</v>
          </cell>
          <cell r="AZ66">
            <v>260</v>
          </cell>
          <cell r="BA66">
            <v>22</v>
          </cell>
          <cell r="BB66">
            <v>8.8599999999999999E-6</v>
          </cell>
          <cell r="BC66">
            <v>22</v>
          </cell>
          <cell r="BD66">
            <v>3.6257980029464726E-4</v>
          </cell>
          <cell r="BE66">
            <v>202</v>
          </cell>
          <cell r="BF66">
            <v>13</v>
          </cell>
          <cell r="BG66">
            <v>5.0000000000000004E-6</v>
          </cell>
          <cell r="BH66">
            <v>5.16</v>
          </cell>
          <cell r="BI66">
            <v>16</v>
          </cell>
          <cell r="BJ66">
            <v>49100</v>
          </cell>
          <cell r="BK66" t="str">
            <v>17a</v>
          </cell>
          <cell r="BL66">
            <v>107.8</v>
          </cell>
          <cell r="BM66">
            <v>17</v>
          </cell>
          <cell r="BO66">
            <v>0.2981261008172249</v>
          </cell>
          <cell r="BS66">
            <v>1000</v>
          </cell>
          <cell r="BT66" t="str">
            <v>Ceiling (High)</v>
          </cell>
          <cell r="BV66">
            <v>3000</v>
          </cell>
          <cell r="BW66" t="str">
            <v>Ceiling (High)</v>
          </cell>
          <cell r="BY66">
            <v>5000</v>
          </cell>
          <cell r="BZ66" t="str">
            <v>Ceiling (High)</v>
          </cell>
          <cell r="CA66">
            <v>50000</v>
          </cell>
          <cell r="CB66" t="str">
            <v>0.005%</v>
          </cell>
        </row>
        <row r="67">
          <cell r="A67" t="str">
            <v>FLUORENE</v>
          </cell>
          <cell r="B67" t="str">
            <v>86-73-7</v>
          </cell>
          <cell r="C67">
            <v>42923</v>
          </cell>
          <cell r="D67">
            <v>0.04</v>
          </cell>
          <cell r="E67">
            <v>1</v>
          </cell>
          <cell r="F67">
            <v>0.4</v>
          </cell>
          <cell r="G67">
            <v>2</v>
          </cell>
          <cell r="H67">
            <v>0.05</v>
          </cell>
          <cell r="I67" t="str">
            <v>5d</v>
          </cell>
          <cell r="J67">
            <v>0.5</v>
          </cell>
          <cell r="K67" t="str">
            <v>5d</v>
          </cell>
          <cell r="Q67">
            <v>0.3</v>
          </cell>
          <cell r="R67" t="str">
            <v>9d</v>
          </cell>
          <cell r="S67">
            <v>0.1</v>
          </cell>
          <cell r="T67" t="str">
            <v>9d</v>
          </cell>
          <cell r="U67">
            <v>0.3</v>
          </cell>
          <cell r="V67" t="str">
            <v>9e</v>
          </cell>
          <cell r="W67">
            <v>0.1</v>
          </cell>
          <cell r="X67" t="str">
            <v>9d</v>
          </cell>
          <cell r="Y67" t="str">
            <v>NC</v>
          </cell>
          <cell r="AA67" t="str">
            <v>NC</v>
          </cell>
          <cell r="AC67">
            <v>1</v>
          </cell>
          <cell r="AD67">
            <v>9</v>
          </cell>
          <cell r="AE67">
            <v>1</v>
          </cell>
          <cell r="AF67">
            <v>9</v>
          </cell>
          <cell r="AI67">
            <v>2</v>
          </cell>
          <cell r="AK67">
            <v>0.92</v>
          </cell>
          <cell r="AL67" t="str">
            <v>NC</v>
          </cell>
          <cell r="AM67">
            <v>1</v>
          </cell>
          <cell r="AO67">
            <v>0</v>
          </cell>
          <cell r="AU67">
            <v>0</v>
          </cell>
          <cell r="AW67">
            <v>0</v>
          </cell>
          <cell r="AX67">
            <v>0.66</v>
          </cell>
          <cell r="AY67">
            <v>1</v>
          </cell>
          <cell r="AZ67">
            <v>1890</v>
          </cell>
          <cell r="BA67">
            <v>22</v>
          </cell>
          <cell r="BB67">
            <v>9.6199999999999994E-5</v>
          </cell>
          <cell r="BC67">
            <v>22</v>
          </cell>
          <cell r="BD67">
            <v>3.9368145359305945E-3</v>
          </cell>
          <cell r="BE67">
            <v>166</v>
          </cell>
          <cell r="BF67">
            <v>13</v>
          </cell>
          <cell r="BH67">
            <v>4.18</v>
          </cell>
          <cell r="BI67">
            <v>17</v>
          </cell>
          <cell r="BJ67">
            <v>7710</v>
          </cell>
          <cell r="BK67" t="str">
            <v>17a</v>
          </cell>
          <cell r="BL67">
            <v>114.8</v>
          </cell>
          <cell r="BM67">
            <v>17</v>
          </cell>
          <cell r="BO67">
            <v>0.10695473105661606</v>
          </cell>
          <cell r="BS67">
            <v>1000</v>
          </cell>
          <cell r="BT67" t="str">
            <v>Ceiling (High)</v>
          </cell>
          <cell r="BV67">
            <v>3000</v>
          </cell>
          <cell r="BW67" t="str">
            <v>Ceiling (High)</v>
          </cell>
          <cell r="BY67">
            <v>5000</v>
          </cell>
          <cell r="BZ67" t="str">
            <v>Ceiling (High)</v>
          </cell>
          <cell r="CA67">
            <v>50000</v>
          </cell>
          <cell r="CB67" t="str">
            <v>0.005%</v>
          </cell>
        </row>
        <row r="68">
          <cell r="A68" t="str">
            <v>HEPTACHLOR</v>
          </cell>
          <cell r="B68" t="str">
            <v>76-44-8</v>
          </cell>
          <cell r="C68">
            <v>42923</v>
          </cell>
          <cell r="D68">
            <v>5.0000000000000001E-4</v>
          </cell>
          <cell r="E68">
            <v>1</v>
          </cell>
          <cell r="F68">
            <v>5.0000000000000001E-4</v>
          </cell>
          <cell r="G68">
            <v>2</v>
          </cell>
          <cell r="H68">
            <v>1E-3</v>
          </cell>
          <cell r="I68">
            <v>3</v>
          </cell>
          <cell r="J68">
            <v>1E-3</v>
          </cell>
          <cell r="K68" t="str">
            <v>7c</v>
          </cell>
          <cell r="L68">
            <v>4.5</v>
          </cell>
          <cell r="M68" t="str">
            <v>B2</v>
          </cell>
          <cell r="N68">
            <v>1</v>
          </cell>
          <cell r="O68">
            <v>1.2999999999999999E-3</v>
          </cell>
          <cell r="P68">
            <v>1</v>
          </cell>
          <cell r="Q68">
            <v>1</v>
          </cell>
          <cell r="R68" t="str">
            <v>9e</v>
          </cell>
          <cell r="S68">
            <v>0.1</v>
          </cell>
          <cell r="T68" t="str">
            <v>9e</v>
          </cell>
          <cell r="U68">
            <v>1</v>
          </cell>
          <cell r="V68" t="str">
            <v>9e</v>
          </cell>
          <cell r="W68">
            <v>0.1</v>
          </cell>
          <cell r="X68" t="str">
            <v>9e</v>
          </cell>
          <cell r="Y68">
            <v>1</v>
          </cell>
          <cell r="Z68" t="str">
            <v>9e</v>
          </cell>
          <cell r="AA68">
            <v>0.1</v>
          </cell>
          <cell r="AB68" t="str">
            <v>9e</v>
          </cell>
          <cell r="AC68">
            <v>1</v>
          </cell>
          <cell r="AD68">
            <v>9</v>
          </cell>
          <cell r="AE68">
            <v>1</v>
          </cell>
          <cell r="AF68">
            <v>9</v>
          </cell>
          <cell r="AG68">
            <v>1</v>
          </cell>
          <cell r="AH68">
            <v>9</v>
          </cell>
          <cell r="AK68">
            <v>0.66</v>
          </cell>
          <cell r="AL68">
            <v>0.66</v>
          </cell>
          <cell r="AO68">
            <v>0</v>
          </cell>
          <cell r="AR68">
            <v>20</v>
          </cell>
          <cell r="AS68">
            <v>13</v>
          </cell>
          <cell r="AT68">
            <v>300</v>
          </cell>
          <cell r="AU68">
            <v>1.9613327848621964E-2</v>
          </cell>
          <cell r="AV68">
            <v>13</v>
          </cell>
          <cell r="AW68">
            <v>1.5295721476510067E-2</v>
          </cell>
          <cell r="AX68">
            <v>2.0099999999999996E-3</v>
          </cell>
          <cell r="AY68">
            <v>1</v>
          </cell>
          <cell r="AZ68">
            <v>180</v>
          </cell>
          <cell r="BA68">
            <v>22</v>
          </cell>
          <cell r="BB68">
            <v>2.9399999999999999E-4</v>
          </cell>
          <cell r="BC68">
            <v>22</v>
          </cell>
          <cell r="BD68">
            <v>1.2031429039122606E-2</v>
          </cell>
          <cell r="BE68">
            <v>374</v>
          </cell>
          <cell r="BF68">
            <v>13</v>
          </cell>
          <cell r="BG68">
            <v>2.9999999999999997E-4</v>
          </cell>
          <cell r="BH68">
            <v>6.1</v>
          </cell>
          <cell r="BI68">
            <v>16</v>
          </cell>
          <cell r="BJ68">
            <v>9530</v>
          </cell>
          <cell r="BK68" t="str">
            <v>17a</v>
          </cell>
          <cell r="BL68">
            <v>95.5</v>
          </cell>
          <cell r="BM68">
            <v>17</v>
          </cell>
          <cell r="BO68">
            <v>0.13539418114050744</v>
          </cell>
          <cell r="BS68">
            <v>1000</v>
          </cell>
          <cell r="BT68" t="str">
            <v>Ceiling (High)</v>
          </cell>
          <cell r="BV68">
            <v>3000</v>
          </cell>
          <cell r="BW68" t="str">
            <v>Ceiling (High)</v>
          </cell>
          <cell r="BY68">
            <v>5000</v>
          </cell>
          <cell r="BZ68" t="str">
            <v>Ceiling (High)</v>
          </cell>
          <cell r="CA68">
            <v>50000</v>
          </cell>
          <cell r="CB68" t="str">
            <v>0.005%</v>
          </cell>
        </row>
        <row r="69">
          <cell r="A69" t="str">
            <v>HEPTACHLOR EPOXIDE</v>
          </cell>
          <cell r="B69" t="str">
            <v>1024-57-3</v>
          </cell>
          <cell r="C69">
            <v>42923</v>
          </cell>
          <cell r="D69">
            <v>1.2999999999999999E-5</v>
          </cell>
          <cell r="E69">
            <v>1</v>
          </cell>
          <cell r="F69">
            <v>1.2999999999999999E-5</v>
          </cell>
          <cell r="G69">
            <v>2</v>
          </cell>
          <cell r="H69">
            <v>4.6E-5</v>
          </cell>
          <cell r="I69" t="str">
            <v>7b</v>
          </cell>
          <cell r="J69">
            <v>4.6E-5</v>
          </cell>
          <cell r="K69" t="str">
            <v>7c</v>
          </cell>
          <cell r="L69">
            <v>9.1</v>
          </cell>
          <cell r="M69" t="str">
            <v>B2</v>
          </cell>
          <cell r="N69">
            <v>1</v>
          </cell>
          <cell r="O69">
            <v>2.5999999999999999E-3</v>
          </cell>
          <cell r="P69">
            <v>1</v>
          </cell>
          <cell r="Q69">
            <v>1</v>
          </cell>
          <cell r="R69" t="str">
            <v>9e</v>
          </cell>
          <cell r="S69">
            <v>0.1</v>
          </cell>
          <cell r="T69" t="str">
            <v>9e</v>
          </cell>
          <cell r="U69">
            <v>1</v>
          </cell>
          <cell r="V69" t="str">
            <v>9e</v>
          </cell>
          <cell r="W69">
            <v>0.1</v>
          </cell>
          <cell r="X69" t="str">
            <v>9e</v>
          </cell>
          <cell r="Y69">
            <v>1</v>
          </cell>
          <cell r="Z69" t="str">
            <v>9e</v>
          </cell>
          <cell r="AA69">
            <v>0.1</v>
          </cell>
          <cell r="AB69" t="str">
            <v>9e</v>
          </cell>
          <cell r="AC69">
            <v>1</v>
          </cell>
          <cell r="AD69">
            <v>9</v>
          </cell>
          <cell r="AE69">
            <v>1</v>
          </cell>
          <cell r="AF69">
            <v>9</v>
          </cell>
          <cell r="AG69">
            <v>1</v>
          </cell>
          <cell r="AH69">
            <v>9</v>
          </cell>
          <cell r="AK69">
            <v>0.66</v>
          </cell>
          <cell r="AL69">
            <v>0.66</v>
          </cell>
          <cell r="AO69">
            <v>0</v>
          </cell>
          <cell r="AT69">
            <v>300</v>
          </cell>
          <cell r="AU69">
            <v>1.8857029859600551E-2</v>
          </cell>
          <cell r="AV69">
            <v>13</v>
          </cell>
          <cell r="AW69">
            <v>1.3787961409395975E-4</v>
          </cell>
          <cell r="AX69">
            <v>5.561E-2</v>
          </cell>
          <cell r="AY69">
            <v>1.5</v>
          </cell>
          <cell r="AZ69">
            <v>200</v>
          </cell>
          <cell r="BA69">
            <v>22</v>
          </cell>
          <cell r="BB69">
            <v>2.0999999999999999E-5</v>
          </cell>
          <cell r="BC69">
            <v>22</v>
          </cell>
          <cell r="BD69">
            <v>8.593877885087575E-4</v>
          </cell>
          <cell r="BE69">
            <v>389</v>
          </cell>
          <cell r="BF69">
            <v>13</v>
          </cell>
          <cell r="BG69">
            <v>2.6000000000000001E-6</v>
          </cell>
          <cell r="BH69">
            <v>4.9800000000000004</v>
          </cell>
          <cell r="BI69">
            <v>17</v>
          </cell>
          <cell r="BJ69">
            <v>83200</v>
          </cell>
          <cell r="BK69" t="str">
            <v>17b</v>
          </cell>
          <cell r="BL69">
            <v>160</v>
          </cell>
          <cell r="BM69">
            <v>17</v>
          </cell>
          <cell r="BO69">
            <v>2.0342297432117306E-2</v>
          </cell>
          <cell r="BS69">
            <v>1000</v>
          </cell>
          <cell r="BT69" t="str">
            <v>Ceiling (High)</v>
          </cell>
          <cell r="BV69">
            <v>3000</v>
          </cell>
          <cell r="BW69" t="str">
            <v>Ceiling (High)</v>
          </cell>
          <cell r="BY69">
            <v>5000</v>
          </cell>
          <cell r="BZ69" t="str">
            <v>Ceiling (High)</v>
          </cell>
          <cell r="CA69">
            <v>50000</v>
          </cell>
          <cell r="CB69" t="str">
            <v>0.005%</v>
          </cell>
        </row>
        <row r="70">
          <cell r="A70" t="str">
            <v>HEXACHLOROBENZENE</v>
          </cell>
          <cell r="B70" t="str">
            <v>118-74-1</v>
          </cell>
          <cell r="C70">
            <v>42922</v>
          </cell>
          <cell r="D70">
            <v>1.0000000000000001E-5</v>
          </cell>
          <cell r="E70" t="str">
            <v>6a</v>
          </cell>
          <cell r="F70">
            <v>1.0000000000000001E-5</v>
          </cell>
          <cell r="G70">
            <v>6</v>
          </cell>
          <cell r="H70">
            <v>4.0000000000000003E-5</v>
          </cell>
          <cell r="I70" t="str">
            <v>7b</v>
          </cell>
          <cell r="J70">
            <v>4.0000000000000003E-5</v>
          </cell>
          <cell r="K70" t="str">
            <v>7b</v>
          </cell>
          <cell r="L70">
            <v>1.6</v>
          </cell>
          <cell r="M70" t="str">
            <v>B2</v>
          </cell>
          <cell r="N70">
            <v>1</v>
          </cell>
          <cell r="O70">
            <v>4.6000000000000001E-4</v>
          </cell>
          <cell r="P70">
            <v>1</v>
          </cell>
          <cell r="Q70">
            <v>1</v>
          </cell>
          <cell r="R70" t="str">
            <v>9e</v>
          </cell>
          <cell r="S70">
            <v>0.1</v>
          </cell>
          <cell r="T70" t="str">
            <v>9e</v>
          </cell>
          <cell r="U70">
            <v>1</v>
          </cell>
          <cell r="V70" t="str">
            <v>9e</v>
          </cell>
          <cell r="W70">
            <v>0.1</v>
          </cell>
          <cell r="X70" t="str">
            <v>9e</v>
          </cell>
          <cell r="Y70">
            <v>1</v>
          </cell>
          <cell r="Z70" t="str">
            <v>9e</v>
          </cell>
          <cell r="AA70">
            <v>0.1</v>
          </cell>
          <cell r="AB70" t="str">
            <v>9e</v>
          </cell>
          <cell r="AC70">
            <v>1</v>
          </cell>
          <cell r="AD70">
            <v>9</v>
          </cell>
          <cell r="AE70">
            <v>1</v>
          </cell>
          <cell r="AF70">
            <v>9</v>
          </cell>
          <cell r="AG70">
            <v>1</v>
          </cell>
          <cell r="AH70">
            <v>9</v>
          </cell>
          <cell r="AK70">
            <v>0.8</v>
          </cell>
          <cell r="AL70">
            <v>0.8</v>
          </cell>
          <cell r="AO70">
            <v>0</v>
          </cell>
          <cell r="AR70">
            <v>3000</v>
          </cell>
          <cell r="AS70">
            <v>24</v>
          </cell>
          <cell r="AU70">
            <v>0</v>
          </cell>
          <cell r="AW70">
            <v>0</v>
          </cell>
          <cell r="AX70">
            <v>0.66</v>
          </cell>
          <cell r="AY70">
            <v>1</v>
          </cell>
          <cell r="AZ70">
            <v>6.2</v>
          </cell>
          <cell r="BA70">
            <v>22</v>
          </cell>
          <cell r="BB70">
            <v>1.6999999999999999E-3</v>
          </cell>
          <cell r="BC70">
            <v>22</v>
          </cell>
          <cell r="BD70">
            <v>6.9569487641185132E-2</v>
          </cell>
          <cell r="BE70">
            <v>285</v>
          </cell>
          <cell r="BF70">
            <v>13</v>
          </cell>
          <cell r="BG70">
            <v>1.0890000000000001E-5</v>
          </cell>
          <cell r="BH70">
            <v>5.73</v>
          </cell>
          <cell r="BI70">
            <v>16</v>
          </cell>
          <cell r="BJ70">
            <v>80000</v>
          </cell>
          <cell r="BK70" t="str">
            <v>17a</v>
          </cell>
          <cell r="BL70">
            <v>231.8</v>
          </cell>
          <cell r="BM70">
            <v>17</v>
          </cell>
          <cell r="BO70">
            <v>0.24310841956013071</v>
          </cell>
          <cell r="BS70">
            <v>1000</v>
          </cell>
          <cell r="BT70" t="str">
            <v>Ceiling (High)</v>
          </cell>
          <cell r="BV70">
            <v>3000</v>
          </cell>
          <cell r="BW70" t="str">
            <v>Ceiling (High)</v>
          </cell>
          <cell r="BY70">
            <v>5000</v>
          </cell>
          <cell r="BZ70" t="str">
            <v>Ceiling (High)</v>
          </cell>
          <cell r="CA70">
            <v>50000</v>
          </cell>
          <cell r="CB70" t="str">
            <v>0.005%</v>
          </cell>
        </row>
        <row r="71">
          <cell r="A71" t="str">
            <v>HEXACHLOROBUTADIENE</v>
          </cell>
          <cell r="B71" t="str">
            <v>87-68-3</v>
          </cell>
          <cell r="C71">
            <v>42922</v>
          </cell>
          <cell r="D71">
            <v>1E-3</v>
          </cell>
          <cell r="E71">
            <v>6</v>
          </cell>
          <cell r="F71">
            <v>1E-3</v>
          </cell>
          <cell r="G71">
            <v>6</v>
          </cell>
          <cell r="H71">
            <v>4.0000000000000001E-3</v>
          </cell>
          <cell r="I71" t="str">
            <v>7b</v>
          </cell>
          <cell r="J71">
            <v>4.0000000000000001E-3</v>
          </cell>
          <cell r="K71" t="str">
            <v>7b</v>
          </cell>
          <cell r="L71">
            <v>7.8E-2</v>
          </cell>
          <cell r="M71" t="str">
            <v>C</v>
          </cell>
          <cell r="N71">
            <v>1</v>
          </cell>
          <cell r="O71">
            <v>2.1999999999999999E-5</v>
          </cell>
          <cell r="P71">
            <v>1</v>
          </cell>
          <cell r="Q71">
            <v>1</v>
          </cell>
          <cell r="R71" t="str">
            <v>9e</v>
          </cell>
          <cell r="S71">
            <v>0.03</v>
          </cell>
          <cell r="T71" t="str">
            <v>9e</v>
          </cell>
          <cell r="U71">
            <v>1</v>
          </cell>
          <cell r="V71" t="str">
            <v>9e</v>
          </cell>
          <cell r="W71">
            <v>0.03</v>
          </cell>
          <cell r="X71" t="str">
            <v>9e</v>
          </cell>
          <cell r="Y71">
            <v>1</v>
          </cell>
          <cell r="Z71" t="str">
            <v>9e</v>
          </cell>
          <cell r="AA71">
            <v>0.03</v>
          </cell>
          <cell r="AB71" t="str">
            <v>9e</v>
          </cell>
          <cell r="AC71">
            <v>1</v>
          </cell>
          <cell r="AD71">
            <v>9</v>
          </cell>
          <cell r="AE71">
            <v>1</v>
          </cell>
          <cell r="AF71">
            <v>9</v>
          </cell>
          <cell r="AG71">
            <v>1</v>
          </cell>
          <cell r="AH71">
            <v>9</v>
          </cell>
          <cell r="AK71">
            <v>1</v>
          </cell>
          <cell r="AL71">
            <v>1</v>
          </cell>
          <cell r="AO71">
            <v>4.5999999999999996</v>
          </cell>
          <cell r="AR71">
            <v>6</v>
          </cell>
          <cell r="AS71">
            <v>24</v>
          </cell>
          <cell r="AT71">
            <v>12000</v>
          </cell>
          <cell r="AU71">
            <v>1.1241968759210137</v>
          </cell>
          <cell r="AV71">
            <v>13</v>
          </cell>
          <cell r="AW71">
            <v>0.13342858640939598</v>
          </cell>
          <cell r="AX71">
            <v>0.66</v>
          </cell>
          <cell r="AY71">
            <v>0.55000000000000004</v>
          </cell>
          <cell r="AZ71">
            <v>3200</v>
          </cell>
          <cell r="BA71">
            <v>22</v>
          </cell>
          <cell r="BB71">
            <v>1.03E-2</v>
          </cell>
          <cell r="BC71">
            <v>22</v>
          </cell>
          <cell r="BD71">
            <v>0.42150924864953349</v>
          </cell>
          <cell r="BE71">
            <v>261</v>
          </cell>
          <cell r="BF71">
            <v>11</v>
          </cell>
          <cell r="BG71">
            <v>0.15</v>
          </cell>
          <cell r="BH71">
            <v>4.78</v>
          </cell>
          <cell r="BI71">
            <v>16</v>
          </cell>
          <cell r="BJ71">
            <v>53700</v>
          </cell>
          <cell r="BK71" t="str">
            <v>17b</v>
          </cell>
          <cell r="BL71">
            <v>-21</v>
          </cell>
          <cell r="BM71">
            <v>17</v>
          </cell>
          <cell r="BO71">
            <v>7.8198784038949712E-2</v>
          </cell>
          <cell r="BS71">
            <v>500</v>
          </cell>
          <cell r="BT71" t="str">
            <v>Ceiling (Medium)</v>
          </cell>
          <cell r="BV71">
            <v>1000</v>
          </cell>
          <cell r="BW71" t="str">
            <v>Ceiling (Medium)</v>
          </cell>
          <cell r="BY71">
            <v>3000</v>
          </cell>
          <cell r="BZ71" t="str">
            <v>Ceiling (Medium)</v>
          </cell>
          <cell r="CA71">
            <v>50000</v>
          </cell>
          <cell r="CB71" t="str">
            <v>0.005%</v>
          </cell>
        </row>
        <row r="72">
          <cell r="A72" t="str">
            <v>HEXACHLOROCYCLOHEXANE, GAMMA (gamma-HCH)</v>
          </cell>
          <cell r="B72" t="str">
            <v>58-89-9</v>
          </cell>
          <cell r="C72">
            <v>42923</v>
          </cell>
          <cell r="D72">
            <v>2.9999999999999997E-4</v>
          </cell>
          <cell r="E72">
            <v>1</v>
          </cell>
          <cell r="F72">
            <v>3.0000000000000001E-3</v>
          </cell>
          <cell r="G72">
            <v>2</v>
          </cell>
          <cell r="H72">
            <v>1.1000000000000001E-3</v>
          </cell>
          <cell r="I72" t="str">
            <v>7b</v>
          </cell>
          <cell r="J72">
            <v>1.0999999999999999E-2</v>
          </cell>
          <cell r="K72" t="str">
            <v>7b</v>
          </cell>
          <cell r="L72">
            <v>1.3</v>
          </cell>
          <cell r="M72" t="str">
            <v>B2-C</v>
          </cell>
          <cell r="N72">
            <v>2</v>
          </cell>
          <cell r="O72">
            <v>3.7142857142857143E-4</v>
          </cell>
          <cell r="P72" t="str">
            <v>7a</v>
          </cell>
          <cell r="Q72">
            <v>1</v>
          </cell>
          <cell r="R72" t="str">
            <v>9e</v>
          </cell>
          <cell r="S72">
            <v>0.04</v>
          </cell>
          <cell r="T72" t="str">
            <v>9e</v>
          </cell>
          <cell r="U72">
            <v>1</v>
          </cell>
          <cell r="V72" t="str">
            <v>9e</v>
          </cell>
          <cell r="W72">
            <v>0.04</v>
          </cell>
          <cell r="X72" t="str">
            <v>9e</v>
          </cell>
          <cell r="Y72">
            <v>1</v>
          </cell>
          <cell r="Z72" t="str">
            <v>9e</v>
          </cell>
          <cell r="AA72">
            <v>0.04</v>
          </cell>
          <cell r="AB72" t="str">
            <v>9e</v>
          </cell>
          <cell r="AC72">
            <v>1</v>
          </cell>
          <cell r="AD72">
            <v>9</v>
          </cell>
          <cell r="AE72">
            <v>1</v>
          </cell>
          <cell r="AF72">
            <v>9</v>
          </cell>
          <cell r="AG72">
            <v>1</v>
          </cell>
          <cell r="AH72">
            <v>9</v>
          </cell>
          <cell r="AK72">
            <v>1</v>
          </cell>
          <cell r="AL72">
            <v>1</v>
          </cell>
          <cell r="AO72">
            <v>0</v>
          </cell>
          <cell r="AR72">
            <v>12000</v>
          </cell>
          <cell r="AS72">
            <v>13</v>
          </cell>
          <cell r="AU72">
            <v>0</v>
          </cell>
          <cell r="AW72">
            <v>0</v>
          </cell>
          <cell r="AX72">
            <v>2.6800000000000001E-3</v>
          </cell>
          <cell r="AY72">
            <v>0.5</v>
          </cell>
          <cell r="AZ72">
            <v>7300</v>
          </cell>
          <cell r="BA72">
            <v>22</v>
          </cell>
          <cell r="BB72">
            <v>5.1399999999999999E-6</v>
          </cell>
          <cell r="BC72">
            <v>22</v>
          </cell>
          <cell r="BD72">
            <v>2.1034539204452447E-4</v>
          </cell>
          <cell r="BE72">
            <v>291</v>
          </cell>
          <cell r="BF72">
            <v>13</v>
          </cell>
          <cell r="BG72">
            <v>9.3999999999999998E-6</v>
          </cell>
          <cell r="BH72">
            <v>3.72</v>
          </cell>
          <cell r="BI72">
            <v>17</v>
          </cell>
          <cell r="BJ72">
            <v>1350</v>
          </cell>
          <cell r="BK72" t="str">
            <v>17a</v>
          </cell>
          <cell r="BL72">
            <v>112.5</v>
          </cell>
          <cell r="BM72">
            <v>17</v>
          </cell>
          <cell r="BO72">
            <v>1.0607181496353157E-2</v>
          </cell>
          <cell r="BS72">
            <v>1000</v>
          </cell>
          <cell r="BT72" t="str">
            <v>Ceiling (High)</v>
          </cell>
          <cell r="BV72">
            <v>3000</v>
          </cell>
          <cell r="BW72" t="str">
            <v>Ceiling (High)</v>
          </cell>
          <cell r="BY72">
            <v>5000</v>
          </cell>
          <cell r="BZ72" t="str">
            <v>Ceiling (High)</v>
          </cell>
          <cell r="CA72">
            <v>50000</v>
          </cell>
          <cell r="CB72" t="str">
            <v>0.005%</v>
          </cell>
        </row>
        <row r="73">
          <cell r="A73" t="str">
            <v>HEXACHLOROETHANE</v>
          </cell>
          <cell r="B73" t="str">
            <v>67-72-1</v>
          </cell>
          <cell r="C73">
            <v>42922</v>
          </cell>
          <cell r="D73">
            <v>6.9999999999999999E-4</v>
          </cell>
          <cell r="E73">
            <v>1</v>
          </cell>
          <cell r="F73">
            <v>2E-3</v>
          </cell>
          <cell r="G73" t="str">
            <v>1i</v>
          </cell>
          <cell r="H73">
            <v>0.03</v>
          </cell>
          <cell r="I73">
            <v>1</v>
          </cell>
          <cell r="J73">
            <v>0.3</v>
          </cell>
          <cell r="K73" t="str">
            <v>1k</v>
          </cell>
          <cell r="L73">
            <v>0.04</v>
          </cell>
          <cell r="M73" t="str">
            <v>C</v>
          </cell>
          <cell r="N73">
            <v>1</v>
          </cell>
          <cell r="O73">
            <v>3.9999999999999998E-6</v>
          </cell>
          <cell r="P73" t="str">
            <v>1f</v>
          </cell>
          <cell r="Q73">
            <v>1</v>
          </cell>
          <cell r="R73" t="str">
            <v>9e</v>
          </cell>
          <cell r="S73">
            <v>0.03</v>
          </cell>
          <cell r="T73" t="str">
            <v>9e</v>
          </cell>
          <cell r="U73">
            <v>1</v>
          </cell>
          <cell r="V73" t="str">
            <v>9e</v>
          </cell>
          <cell r="W73">
            <v>0.03</v>
          </cell>
          <cell r="X73" t="str">
            <v>9e</v>
          </cell>
          <cell r="Y73">
            <v>1</v>
          </cell>
          <cell r="Z73" t="str">
            <v>9e</v>
          </cell>
          <cell r="AA73">
            <v>0.03</v>
          </cell>
          <cell r="AB73" t="str">
            <v>9e</v>
          </cell>
          <cell r="AC73">
            <v>1</v>
          </cell>
          <cell r="AD73">
            <v>9</v>
          </cell>
          <cell r="AE73">
            <v>1</v>
          </cell>
          <cell r="AF73">
            <v>9</v>
          </cell>
          <cell r="AG73">
            <v>1</v>
          </cell>
          <cell r="AH73">
            <v>9</v>
          </cell>
          <cell r="AK73">
            <v>1</v>
          </cell>
          <cell r="AL73">
            <v>1</v>
          </cell>
          <cell r="AO73">
            <v>0</v>
          </cell>
          <cell r="AR73">
            <v>10</v>
          </cell>
          <cell r="AS73">
            <v>24</v>
          </cell>
          <cell r="AU73">
            <v>0</v>
          </cell>
          <cell r="AW73">
            <v>0</v>
          </cell>
          <cell r="AX73">
            <v>0.66</v>
          </cell>
          <cell r="AY73">
            <v>8</v>
          </cell>
          <cell r="AZ73">
            <v>50000</v>
          </cell>
          <cell r="BA73">
            <v>22</v>
          </cell>
          <cell r="BB73">
            <v>3.8899999999999998E-3</v>
          </cell>
          <cell r="BC73">
            <v>22</v>
          </cell>
          <cell r="BD73">
            <v>0.15919135701424128</v>
          </cell>
          <cell r="BE73">
            <v>237</v>
          </cell>
          <cell r="BF73">
            <v>11</v>
          </cell>
          <cell r="BG73">
            <v>0.4</v>
          </cell>
          <cell r="BH73">
            <v>4.1399999999999997</v>
          </cell>
          <cell r="BI73">
            <v>16</v>
          </cell>
          <cell r="BJ73">
            <v>1780</v>
          </cell>
          <cell r="BK73" t="str">
            <v>17b</v>
          </cell>
          <cell r="BL73">
            <v>187</v>
          </cell>
          <cell r="BM73">
            <v>17</v>
          </cell>
          <cell r="BO73">
            <v>4.0290253508329509E-2</v>
          </cell>
          <cell r="BS73">
            <v>1000</v>
          </cell>
          <cell r="BT73" t="str">
            <v>Ceiling (High)</v>
          </cell>
          <cell r="BV73">
            <v>3000</v>
          </cell>
          <cell r="BW73" t="str">
            <v>Ceiling (High)</v>
          </cell>
          <cell r="BY73">
            <v>5000</v>
          </cell>
          <cell r="BZ73" t="str">
            <v>Ceiling (High)</v>
          </cell>
          <cell r="CA73">
            <v>50000</v>
          </cell>
          <cell r="CB73" t="str">
            <v>0.005%</v>
          </cell>
        </row>
        <row r="74">
          <cell r="A74" t="str">
            <v>HMX</v>
          </cell>
          <cell r="B74" t="str">
            <v>2691-41-0</v>
          </cell>
          <cell r="C74">
            <v>42922</v>
          </cell>
          <cell r="D74">
            <v>0.05</v>
          </cell>
          <cell r="E74">
            <v>1</v>
          </cell>
          <cell r="F74">
            <v>0.05</v>
          </cell>
          <cell r="G74" t="str">
            <v>1d</v>
          </cell>
          <cell r="H74">
            <v>0.18</v>
          </cell>
          <cell r="I74" t="str">
            <v>7b</v>
          </cell>
          <cell r="J74">
            <v>0.18</v>
          </cell>
          <cell r="K74" t="str">
            <v>7c</v>
          </cell>
          <cell r="M74" t="str">
            <v>D</v>
          </cell>
          <cell r="N74">
            <v>1</v>
          </cell>
          <cell r="Q74">
            <v>1</v>
          </cell>
          <cell r="R74">
            <v>9</v>
          </cell>
          <cell r="S74">
            <v>0.03</v>
          </cell>
          <cell r="T74">
            <v>9</v>
          </cell>
          <cell r="U74">
            <v>1</v>
          </cell>
          <cell r="V74">
            <v>9</v>
          </cell>
          <cell r="W74">
            <v>0.03</v>
          </cell>
          <cell r="X74">
            <v>9</v>
          </cell>
          <cell r="Y74" t="str">
            <v>NC</v>
          </cell>
          <cell r="AA74" t="str">
            <v>NC</v>
          </cell>
          <cell r="AC74">
            <v>1</v>
          </cell>
          <cell r="AD74">
            <v>9</v>
          </cell>
          <cell r="AE74">
            <v>1</v>
          </cell>
          <cell r="AF74">
            <v>9</v>
          </cell>
          <cell r="AK74">
            <v>0.3</v>
          </cell>
          <cell r="AL74" t="str">
            <v>NC</v>
          </cell>
          <cell r="AO74">
            <v>0</v>
          </cell>
          <cell r="AX74">
            <v>2.2000000000000002</v>
          </cell>
          <cell r="AY74">
            <v>13</v>
          </cell>
          <cell r="AZ74">
            <v>2556000</v>
          </cell>
          <cell r="BA74">
            <v>23</v>
          </cell>
          <cell r="BB74">
            <v>8.67E-10</v>
          </cell>
          <cell r="BC74">
            <v>22</v>
          </cell>
          <cell r="BD74">
            <v>3.5480438697004418E-8</v>
          </cell>
          <cell r="BE74">
            <v>296.2</v>
          </cell>
          <cell r="BF74">
            <v>13</v>
          </cell>
          <cell r="BG74">
            <v>3.3300000000000001E-14</v>
          </cell>
          <cell r="BH74">
            <v>0.16</v>
          </cell>
          <cell r="BI74">
            <v>13</v>
          </cell>
          <cell r="BJ74">
            <v>3.4673685045253171</v>
          </cell>
          <cell r="BK74">
            <v>13</v>
          </cell>
          <cell r="BL74">
            <v>276</v>
          </cell>
          <cell r="BM74">
            <v>13</v>
          </cell>
          <cell r="BO74">
            <v>4.4348608726596469E-5</v>
          </cell>
          <cell r="BS74">
            <v>1000</v>
          </cell>
          <cell r="BT74" t="str">
            <v>Ceiling (High)</v>
          </cell>
          <cell r="BV74">
            <v>3000</v>
          </cell>
          <cell r="BW74" t="str">
            <v>Ceiling (High)</v>
          </cell>
          <cell r="BY74">
            <v>5000</v>
          </cell>
          <cell r="BZ74" t="str">
            <v>Ceiling (High)</v>
          </cell>
          <cell r="CA74">
            <v>50000</v>
          </cell>
          <cell r="CB74" t="str">
            <v>0.005%</v>
          </cell>
        </row>
        <row r="75">
          <cell r="A75" t="str">
            <v>INDENO(1,2,3-cd)PYRENE</v>
          </cell>
          <cell r="B75" t="str">
            <v>193-39-5</v>
          </cell>
          <cell r="C75">
            <v>42922</v>
          </cell>
          <cell r="D75">
            <v>0.03</v>
          </cell>
          <cell r="E75" t="str">
            <v>5d</v>
          </cell>
          <cell r="F75">
            <v>0.3</v>
          </cell>
          <cell r="G75" t="str">
            <v>5d</v>
          </cell>
          <cell r="H75">
            <v>0.05</v>
          </cell>
          <cell r="I75" t="str">
            <v>5d</v>
          </cell>
          <cell r="J75">
            <v>0.5</v>
          </cell>
          <cell r="K75" t="str">
            <v>5d</v>
          </cell>
          <cell r="L75">
            <v>0.1</v>
          </cell>
          <cell r="M75" t="str">
            <v>B2</v>
          </cell>
          <cell r="N75" t="str">
            <v>1e</v>
          </cell>
          <cell r="O75">
            <v>6.0000000000000002E-5</v>
          </cell>
          <cell r="P75" t="str">
            <v>1e</v>
          </cell>
          <cell r="Q75">
            <v>0.3</v>
          </cell>
          <cell r="R75" t="str">
            <v>9d</v>
          </cell>
          <cell r="S75">
            <v>0.02</v>
          </cell>
          <cell r="T75" t="str">
            <v>9d</v>
          </cell>
          <cell r="U75">
            <v>0.3</v>
          </cell>
          <cell r="V75" t="str">
            <v>9d</v>
          </cell>
          <cell r="W75">
            <v>0.02</v>
          </cell>
          <cell r="X75" t="str">
            <v>9d</v>
          </cell>
          <cell r="Y75">
            <v>0.3</v>
          </cell>
          <cell r="Z75" t="str">
            <v>9d</v>
          </cell>
          <cell r="AA75">
            <v>0.02</v>
          </cell>
          <cell r="AB75" t="str">
            <v>9d</v>
          </cell>
          <cell r="AC75">
            <v>1</v>
          </cell>
          <cell r="AD75">
            <v>9</v>
          </cell>
          <cell r="AE75">
            <v>1</v>
          </cell>
          <cell r="AF75">
            <v>9</v>
          </cell>
          <cell r="AG75">
            <v>1</v>
          </cell>
          <cell r="AH75">
            <v>9</v>
          </cell>
          <cell r="AI75">
            <v>3</v>
          </cell>
          <cell r="AJ75" t="str">
            <v>M</v>
          </cell>
          <cell r="AK75">
            <v>0.92</v>
          </cell>
          <cell r="AL75">
            <v>0.92</v>
          </cell>
          <cell r="AM75">
            <v>1</v>
          </cell>
          <cell r="AO75">
            <v>0</v>
          </cell>
          <cell r="AU75">
            <v>0</v>
          </cell>
          <cell r="AW75">
            <v>0</v>
          </cell>
          <cell r="AX75">
            <v>0.66</v>
          </cell>
          <cell r="AY75">
            <v>0.5</v>
          </cell>
          <cell r="AZ75">
            <v>0.19</v>
          </cell>
          <cell r="BA75">
            <v>22</v>
          </cell>
          <cell r="BB75">
            <v>3.4799999999999999E-7</v>
          </cell>
          <cell r="BC75">
            <v>22</v>
          </cell>
          <cell r="BD75">
            <v>1.424128335243084E-5</v>
          </cell>
          <cell r="BE75">
            <v>276</v>
          </cell>
          <cell r="BF75">
            <v>13</v>
          </cell>
          <cell r="BG75">
            <v>1.0000000000000001E-9</v>
          </cell>
          <cell r="BH75">
            <v>6.7</v>
          </cell>
          <cell r="BI75">
            <v>16</v>
          </cell>
          <cell r="BJ75">
            <v>3470000</v>
          </cell>
          <cell r="BK75" t="str">
            <v>17b</v>
          </cell>
          <cell r="BL75">
            <v>161.5</v>
          </cell>
          <cell r="BM75">
            <v>17</v>
          </cell>
          <cell r="BO75">
            <v>1.1923396878859682</v>
          </cell>
          <cell r="BS75">
            <v>1000</v>
          </cell>
          <cell r="BT75" t="str">
            <v>Ceiling (High)</v>
          </cell>
          <cell r="BV75">
            <v>3000</v>
          </cell>
          <cell r="BW75" t="str">
            <v>Ceiling (High)</v>
          </cell>
          <cell r="BY75">
            <v>5000</v>
          </cell>
          <cell r="BZ75" t="str">
            <v>Ceiling (High)</v>
          </cell>
          <cell r="CA75">
            <v>50000</v>
          </cell>
          <cell r="CB75" t="str">
            <v>0.005%</v>
          </cell>
        </row>
        <row r="76">
          <cell r="A76" t="str">
            <v>LEAD</v>
          </cell>
          <cell r="B76" t="str">
            <v>7439-92-1</v>
          </cell>
          <cell r="C76">
            <v>42922</v>
          </cell>
          <cell r="D76">
            <v>7.5000000000000002E-4</v>
          </cell>
          <cell r="E76">
            <v>4</v>
          </cell>
          <cell r="F76">
            <v>7.5000000000000002E-4</v>
          </cell>
          <cell r="G76">
            <v>4</v>
          </cell>
          <cell r="H76">
            <v>1E-3</v>
          </cell>
          <cell r="I76">
            <v>3</v>
          </cell>
          <cell r="J76">
            <v>1E-3</v>
          </cell>
          <cell r="K76" t="str">
            <v>7c</v>
          </cell>
          <cell r="M76" t="str">
            <v>B2</v>
          </cell>
          <cell r="N76">
            <v>1</v>
          </cell>
          <cell r="Q76">
            <v>0.5</v>
          </cell>
          <cell r="R76" t="str">
            <v>9h</v>
          </cell>
          <cell r="S76">
            <v>6.0000000000000001E-3</v>
          </cell>
          <cell r="T76">
            <v>9</v>
          </cell>
          <cell r="U76">
            <v>0.5</v>
          </cell>
          <cell r="V76" t="str">
            <v>9h</v>
          </cell>
          <cell r="W76">
            <v>6.0000000000000001E-3</v>
          </cell>
          <cell r="X76">
            <v>9</v>
          </cell>
          <cell r="Y76" t="str">
            <v>NC</v>
          </cell>
          <cell r="AA76" t="str">
            <v>NC</v>
          </cell>
          <cell r="AC76">
            <v>1</v>
          </cell>
          <cell r="AD76">
            <v>9</v>
          </cell>
          <cell r="AE76">
            <v>1</v>
          </cell>
          <cell r="AF76">
            <v>9</v>
          </cell>
          <cell r="AI76">
            <v>600</v>
          </cell>
          <cell r="AK76">
            <v>0.5</v>
          </cell>
          <cell r="AL76" t="str">
            <v>NC</v>
          </cell>
          <cell r="AM76">
            <v>200</v>
          </cell>
          <cell r="AN76">
            <v>8.8000000000000007</v>
          </cell>
          <cell r="AO76">
            <v>0</v>
          </cell>
          <cell r="AU76">
            <v>0</v>
          </cell>
          <cell r="AW76">
            <v>0</v>
          </cell>
          <cell r="AX76">
            <v>8.4</v>
          </cell>
          <cell r="AY76">
            <v>1</v>
          </cell>
          <cell r="AZ76">
            <v>0</v>
          </cell>
          <cell r="BD76">
            <v>0</v>
          </cell>
          <cell r="BE76">
            <v>207</v>
          </cell>
          <cell r="BF76">
            <v>11</v>
          </cell>
          <cell r="BH76">
            <v>0.73</v>
          </cell>
          <cell r="BJ76">
            <v>0</v>
          </cell>
          <cell r="BO76">
            <v>1E-4</v>
          </cell>
          <cell r="BP76">
            <v>0.15</v>
          </cell>
          <cell r="BS76">
            <v>1000</v>
          </cell>
          <cell r="BT76" t="str">
            <v>Ceiling (High)</v>
          </cell>
          <cell r="BV76">
            <v>3000</v>
          </cell>
          <cell r="BW76" t="str">
            <v>Ceiling (High)</v>
          </cell>
          <cell r="BY76">
            <v>5000</v>
          </cell>
          <cell r="BZ76" t="str">
            <v>Ceiling (High)</v>
          </cell>
          <cell r="CA76">
            <v>50000</v>
          </cell>
          <cell r="CB76" t="str">
            <v>0.005%</v>
          </cell>
          <cell r="CC76" t="str">
            <v>Y</v>
          </cell>
        </row>
        <row r="77">
          <cell r="A77" t="str">
            <v>MERCURY</v>
          </cell>
          <cell r="B77" t="str">
            <v>7439-97-6</v>
          </cell>
          <cell r="C77">
            <v>42923</v>
          </cell>
          <cell r="D77">
            <v>2.9999999999999997E-4</v>
          </cell>
          <cell r="E77" t="str">
            <v>2d</v>
          </cell>
          <cell r="F77">
            <v>2.9999999999999997E-4</v>
          </cell>
          <cell r="G77" t="str">
            <v>2d</v>
          </cell>
          <cell r="H77">
            <v>2.9999999999999997E-4</v>
          </cell>
          <cell r="I77">
            <v>1</v>
          </cell>
          <cell r="J77">
            <v>2.9999999999999997E-4</v>
          </cell>
          <cell r="K77" t="str">
            <v>7c</v>
          </cell>
          <cell r="M77" t="str">
            <v>D</v>
          </cell>
          <cell r="N77">
            <v>1</v>
          </cell>
          <cell r="Q77">
            <v>0.5</v>
          </cell>
          <cell r="R77" t="str">
            <v>9e</v>
          </cell>
          <cell r="S77">
            <v>0.1</v>
          </cell>
          <cell r="T77" t="str">
            <v>9e</v>
          </cell>
          <cell r="U77">
            <v>0.5</v>
          </cell>
          <cell r="V77" t="str">
            <v>9e</v>
          </cell>
          <cell r="W77">
            <v>0.1</v>
          </cell>
          <cell r="X77" t="str">
            <v>9e</v>
          </cell>
          <cell r="Y77" t="str">
            <v>NC</v>
          </cell>
          <cell r="AA77" t="str">
            <v>NC</v>
          </cell>
          <cell r="AC77">
            <v>1</v>
          </cell>
          <cell r="AD77">
            <v>9</v>
          </cell>
          <cell r="AE77">
            <v>1</v>
          </cell>
          <cell r="AF77">
            <v>9</v>
          </cell>
          <cell r="AI77">
            <v>1</v>
          </cell>
          <cell r="AK77">
            <v>0.95</v>
          </cell>
          <cell r="AL77" t="str">
            <v>NC</v>
          </cell>
          <cell r="AM77">
            <v>0.3</v>
          </cell>
          <cell r="AN77">
            <v>0.95</v>
          </cell>
          <cell r="AO77">
            <v>0</v>
          </cell>
          <cell r="AU77">
            <v>0</v>
          </cell>
          <cell r="AW77">
            <v>0</v>
          </cell>
          <cell r="AX77">
            <v>0.1</v>
          </cell>
          <cell r="AY77">
            <v>0.2</v>
          </cell>
          <cell r="AZ77">
            <v>60</v>
          </cell>
          <cell r="BA77">
            <v>22</v>
          </cell>
          <cell r="BD77">
            <v>0</v>
          </cell>
          <cell r="BE77">
            <v>201</v>
          </cell>
          <cell r="BF77">
            <v>13</v>
          </cell>
          <cell r="BG77">
            <v>1.1999999999999999E-3</v>
          </cell>
          <cell r="BH77">
            <v>0.62</v>
          </cell>
          <cell r="BJ77">
            <v>0</v>
          </cell>
          <cell r="BO77">
            <v>1E-3</v>
          </cell>
          <cell r="BS77">
            <v>1000</v>
          </cell>
          <cell r="BT77" t="str">
            <v>Ceiling (High)</v>
          </cell>
          <cell r="BV77">
            <v>3000</v>
          </cell>
          <cell r="BW77" t="str">
            <v>Ceiling (High)</v>
          </cell>
          <cell r="BY77">
            <v>5000</v>
          </cell>
          <cell r="BZ77" t="str">
            <v>Ceiling (High)</v>
          </cell>
          <cell r="CA77">
            <v>50000</v>
          </cell>
          <cell r="CB77" t="str">
            <v>0.005%</v>
          </cell>
          <cell r="CC77" t="str">
            <v>Y</v>
          </cell>
        </row>
        <row r="78">
          <cell r="A78" t="str">
            <v>METHOXYCHLOR</v>
          </cell>
          <cell r="B78" t="str">
            <v>72-43-5</v>
          </cell>
          <cell r="C78">
            <v>42923</v>
          </cell>
          <cell r="D78">
            <v>5.0000000000000001E-3</v>
          </cell>
          <cell r="E78">
            <v>1</v>
          </cell>
          <cell r="F78">
            <v>5.0000000000000001E-3</v>
          </cell>
          <cell r="G78">
            <v>2</v>
          </cell>
          <cell r="H78">
            <v>1.7999999999999999E-2</v>
          </cell>
          <cell r="I78" t="str">
            <v>7b</v>
          </cell>
          <cell r="J78">
            <v>1.7999999999999999E-2</v>
          </cell>
          <cell r="K78" t="str">
            <v>7c</v>
          </cell>
          <cell r="M78" t="str">
            <v>D</v>
          </cell>
          <cell r="N78">
            <v>1</v>
          </cell>
          <cell r="Q78">
            <v>1</v>
          </cell>
          <cell r="R78" t="str">
            <v>9e</v>
          </cell>
          <cell r="S78">
            <v>0.1</v>
          </cell>
          <cell r="T78" t="str">
            <v>9e</v>
          </cell>
          <cell r="U78">
            <v>1</v>
          </cell>
          <cell r="V78" t="str">
            <v>9e</v>
          </cell>
          <cell r="W78">
            <v>0.1</v>
          </cell>
          <cell r="X78" t="str">
            <v>9e</v>
          </cell>
          <cell r="Y78" t="str">
            <v>NC</v>
          </cell>
          <cell r="AA78" t="str">
            <v>NC</v>
          </cell>
          <cell r="AC78">
            <v>1</v>
          </cell>
          <cell r="AD78">
            <v>9</v>
          </cell>
          <cell r="AE78">
            <v>1</v>
          </cell>
          <cell r="AF78">
            <v>9</v>
          </cell>
          <cell r="AK78">
            <v>1</v>
          </cell>
          <cell r="AL78" t="str">
            <v>NC</v>
          </cell>
          <cell r="AO78">
            <v>0</v>
          </cell>
          <cell r="AR78">
            <v>4700</v>
          </cell>
          <cell r="AS78">
            <v>13</v>
          </cell>
          <cell r="AU78">
            <v>0</v>
          </cell>
          <cell r="AW78">
            <v>0</v>
          </cell>
          <cell r="AX78">
            <v>0.11792</v>
          </cell>
          <cell r="AY78">
            <v>1.5</v>
          </cell>
          <cell r="AZ78">
            <v>100</v>
          </cell>
          <cell r="BA78">
            <v>22</v>
          </cell>
          <cell r="BB78">
            <v>2.03E-7</v>
          </cell>
          <cell r="BC78">
            <v>22</v>
          </cell>
          <cell r="BD78">
            <v>8.3074152889179904E-6</v>
          </cell>
          <cell r="BE78">
            <v>346</v>
          </cell>
          <cell r="BF78">
            <v>13</v>
          </cell>
          <cell r="BG78">
            <v>1.3999999999999999E-6</v>
          </cell>
          <cell r="BH78">
            <v>5.08</v>
          </cell>
          <cell r="BI78">
            <v>17</v>
          </cell>
          <cell r="BJ78">
            <v>80000</v>
          </cell>
          <cell r="BK78" t="str">
            <v>17a</v>
          </cell>
          <cell r="BL78">
            <v>87</v>
          </cell>
          <cell r="BM78">
            <v>17</v>
          </cell>
          <cell r="BO78">
            <v>4.1228734072288685E-2</v>
          </cell>
          <cell r="BS78">
            <v>1000</v>
          </cell>
          <cell r="BT78" t="str">
            <v>Ceiling (High)</v>
          </cell>
          <cell r="BV78">
            <v>3000</v>
          </cell>
          <cell r="BW78" t="str">
            <v>Ceiling (High)</v>
          </cell>
          <cell r="BY78">
            <v>5000</v>
          </cell>
          <cell r="BZ78" t="str">
            <v>Ceiling (High)</v>
          </cell>
          <cell r="CA78">
            <v>50000</v>
          </cell>
          <cell r="CB78" t="str">
            <v>0.005%</v>
          </cell>
        </row>
        <row r="79">
          <cell r="A79" t="str">
            <v>METHYL ETHYL KETONE</v>
          </cell>
          <cell r="B79" t="str">
            <v>78-93-3</v>
          </cell>
          <cell r="C79">
            <v>42922</v>
          </cell>
          <cell r="D79">
            <v>0.6</v>
          </cell>
          <cell r="E79">
            <v>1</v>
          </cell>
          <cell r="F79">
            <v>0.6</v>
          </cell>
          <cell r="G79" t="str">
            <v>1d</v>
          </cell>
          <cell r="H79">
            <v>5</v>
          </cell>
          <cell r="I79">
            <v>1</v>
          </cell>
          <cell r="J79">
            <v>5</v>
          </cell>
          <cell r="K79" t="str">
            <v>1j</v>
          </cell>
          <cell r="M79" t="str">
            <v>D</v>
          </cell>
          <cell r="N79">
            <v>1</v>
          </cell>
          <cell r="Q79">
            <v>1</v>
          </cell>
          <cell r="R79" t="str">
            <v>9e</v>
          </cell>
          <cell r="S79">
            <v>0.03</v>
          </cell>
          <cell r="T79" t="str">
            <v>9e</v>
          </cell>
          <cell r="U79">
            <v>1</v>
          </cell>
          <cell r="V79" t="str">
            <v>9e</v>
          </cell>
          <cell r="W79">
            <v>0.03</v>
          </cell>
          <cell r="X79" t="str">
            <v>9e</v>
          </cell>
          <cell r="Y79" t="str">
            <v>NC</v>
          </cell>
          <cell r="AA79" t="str">
            <v>NC</v>
          </cell>
          <cell r="AC79">
            <v>1</v>
          </cell>
          <cell r="AD79">
            <v>9</v>
          </cell>
          <cell r="AE79">
            <v>1</v>
          </cell>
          <cell r="AF79">
            <v>9</v>
          </cell>
          <cell r="AK79">
            <v>1</v>
          </cell>
          <cell r="AL79" t="str">
            <v>NC</v>
          </cell>
          <cell r="AO79">
            <v>12</v>
          </cell>
          <cell r="AP79">
            <v>10</v>
          </cell>
          <cell r="AQ79">
            <v>14.324999999999999</v>
          </cell>
          <cell r="AR79">
            <v>1000</v>
          </cell>
          <cell r="AS79">
            <v>24</v>
          </cell>
          <cell r="AT79">
            <v>32000</v>
          </cell>
          <cell r="AU79">
            <v>10.867236467236465</v>
          </cell>
          <cell r="AV79">
            <v>24</v>
          </cell>
          <cell r="AW79">
            <v>9.2019714765100691</v>
          </cell>
          <cell r="AX79">
            <v>0.1</v>
          </cell>
          <cell r="AY79">
            <v>100</v>
          </cell>
          <cell r="AZ79">
            <v>223000000</v>
          </cell>
          <cell r="BA79">
            <v>22</v>
          </cell>
          <cell r="BB79">
            <v>5.6900000000000001E-5</v>
          </cell>
          <cell r="BC79">
            <v>22</v>
          </cell>
          <cell r="BD79">
            <v>2.3285316745784907E-3</v>
          </cell>
          <cell r="BE79">
            <v>72</v>
          </cell>
          <cell r="BF79">
            <v>13</v>
          </cell>
          <cell r="BG79">
            <v>100</v>
          </cell>
          <cell r="BH79">
            <v>0.28999999999999998</v>
          </cell>
          <cell r="BI79">
            <v>16</v>
          </cell>
          <cell r="BJ79">
            <v>3.5481338923357555</v>
          </cell>
          <cell r="BK79">
            <v>13</v>
          </cell>
          <cell r="BO79">
            <v>9.7319529359227738E-4</v>
          </cell>
          <cell r="BS79">
            <v>500</v>
          </cell>
          <cell r="BT79" t="str">
            <v>Ceiling (Medium)</v>
          </cell>
          <cell r="BV79">
            <v>1000</v>
          </cell>
          <cell r="BW79" t="str">
            <v>Ceiling (Medium)</v>
          </cell>
          <cell r="BY79">
            <v>3000</v>
          </cell>
          <cell r="BZ79" t="str">
            <v>Ceiling (Medium)</v>
          </cell>
          <cell r="CA79">
            <v>50000</v>
          </cell>
          <cell r="CB79" t="str">
            <v>0.005%</v>
          </cell>
        </row>
        <row r="80">
          <cell r="A80" t="str">
            <v>METHYL ISOBUTYL KETONE</v>
          </cell>
          <cell r="B80" t="str">
            <v>108-10-1</v>
          </cell>
          <cell r="C80">
            <v>42923</v>
          </cell>
          <cell r="D80">
            <v>0.08</v>
          </cell>
          <cell r="E80">
            <v>2</v>
          </cell>
          <cell r="F80">
            <v>0.8</v>
          </cell>
          <cell r="G80">
            <v>2</v>
          </cell>
          <cell r="H80">
            <v>3</v>
          </cell>
          <cell r="I80">
            <v>1</v>
          </cell>
          <cell r="J80">
            <v>3</v>
          </cell>
          <cell r="K80" t="str">
            <v>7c</v>
          </cell>
          <cell r="Q80">
            <v>1</v>
          </cell>
          <cell r="R80" t="str">
            <v>9e</v>
          </cell>
          <cell r="S80">
            <v>0.03</v>
          </cell>
          <cell r="T80" t="str">
            <v>9e</v>
          </cell>
          <cell r="U80">
            <v>1</v>
          </cell>
          <cell r="V80" t="str">
            <v>9e</v>
          </cell>
          <cell r="W80">
            <v>0.03</v>
          </cell>
          <cell r="X80" t="str">
            <v>9e</v>
          </cell>
          <cell r="Y80" t="str">
            <v>NC</v>
          </cell>
          <cell r="AA80" t="str">
            <v>NC</v>
          </cell>
          <cell r="AC80">
            <v>1</v>
          </cell>
          <cell r="AD80">
            <v>9</v>
          </cell>
          <cell r="AE80">
            <v>1</v>
          </cell>
          <cell r="AF80">
            <v>9</v>
          </cell>
          <cell r="AK80">
            <v>1</v>
          </cell>
          <cell r="AL80" t="str">
            <v>NC</v>
          </cell>
          <cell r="AO80">
            <v>2.2000000000000002</v>
          </cell>
          <cell r="AT80">
            <v>9700</v>
          </cell>
          <cell r="AU80">
            <v>2.371774358974359</v>
          </cell>
          <cell r="AV80">
            <v>25</v>
          </cell>
          <cell r="AW80">
            <v>4.2162526811042689</v>
          </cell>
          <cell r="AX80">
            <v>0.05</v>
          </cell>
          <cell r="AY80">
            <v>50</v>
          </cell>
          <cell r="AZ80">
            <v>19000000</v>
          </cell>
          <cell r="BA80">
            <v>22</v>
          </cell>
          <cell r="BB80">
            <v>1.3799999999999999E-4</v>
          </cell>
          <cell r="BC80">
            <v>22</v>
          </cell>
          <cell r="BD80">
            <v>5.6474054673432642E-3</v>
          </cell>
          <cell r="BE80">
            <v>100</v>
          </cell>
          <cell r="BF80">
            <v>11</v>
          </cell>
          <cell r="BG80">
            <v>10</v>
          </cell>
          <cell r="BH80">
            <v>1.31</v>
          </cell>
          <cell r="BI80">
            <v>12</v>
          </cell>
          <cell r="BJ80">
            <v>12.58925411794168</v>
          </cell>
          <cell r="BK80" t="str">
            <v>calc</v>
          </cell>
          <cell r="BO80">
            <v>3.1959501748147611E-3</v>
          </cell>
          <cell r="BS80">
            <v>500</v>
          </cell>
          <cell r="BT80" t="str">
            <v>Ceiling (Medium)</v>
          </cell>
          <cell r="BV80">
            <v>1000</v>
          </cell>
          <cell r="BW80" t="str">
            <v>Ceiling (Medium)</v>
          </cell>
          <cell r="BY80">
            <v>3000</v>
          </cell>
          <cell r="BZ80" t="str">
            <v>Ceiling (Medium)</v>
          </cell>
          <cell r="CA80">
            <v>50000</v>
          </cell>
          <cell r="CB80" t="str">
            <v>0.005%</v>
          </cell>
        </row>
        <row r="81">
          <cell r="A81" t="str">
            <v>METHYL MERCURY</v>
          </cell>
          <cell r="B81" t="str">
            <v>22967-92-6</v>
          </cell>
          <cell r="C81">
            <v>42923</v>
          </cell>
          <cell r="D81">
            <v>1E-4</v>
          </cell>
          <cell r="E81">
            <v>1</v>
          </cell>
          <cell r="F81">
            <v>1E-4</v>
          </cell>
          <cell r="G81">
            <v>2</v>
          </cell>
          <cell r="H81">
            <v>2.0000000000000002E-5</v>
          </cell>
          <cell r="I81">
            <v>3</v>
          </cell>
          <cell r="J81">
            <v>2.0000000000000002E-5</v>
          </cell>
          <cell r="K81" t="str">
            <v>7c</v>
          </cell>
          <cell r="M81" t="str">
            <v>C</v>
          </cell>
          <cell r="N81">
            <v>1</v>
          </cell>
          <cell r="Q81">
            <v>1</v>
          </cell>
          <cell r="R81" t="str">
            <v>9e</v>
          </cell>
          <cell r="S81">
            <v>0.1</v>
          </cell>
          <cell r="T81" t="str">
            <v>9e</v>
          </cell>
          <cell r="U81">
            <v>1</v>
          </cell>
          <cell r="V81" t="str">
            <v>9e</v>
          </cell>
          <cell r="W81">
            <v>0.1</v>
          </cell>
          <cell r="X81" t="str">
            <v>9e</v>
          </cell>
          <cell r="Y81" t="str">
            <v>NC</v>
          </cell>
          <cell r="AA81" t="str">
            <v>NC</v>
          </cell>
          <cell r="AC81">
            <v>1</v>
          </cell>
          <cell r="AD81">
            <v>9</v>
          </cell>
          <cell r="AE81">
            <v>1</v>
          </cell>
          <cell r="AF81">
            <v>9</v>
          </cell>
          <cell r="AK81">
            <v>0.95</v>
          </cell>
          <cell r="AL81" t="str">
            <v>NC</v>
          </cell>
          <cell r="AO81">
            <v>0</v>
          </cell>
          <cell r="AU81">
            <v>0</v>
          </cell>
          <cell r="AW81">
            <v>0</v>
          </cell>
          <cell r="AX81">
            <v>0</v>
          </cell>
          <cell r="AY81">
            <v>0</v>
          </cell>
          <cell r="AZ81">
            <v>0</v>
          </cell>
          <cell r="BD81">
            <v>0</v>
          </cell>
          <cell r="BE81">
            <v>231</v>
          </cell>
          <cell r="BF81">
            <v>15</v>
          </cell>
          <cell r="BJ81">
            <v>0</v>
          </cell>
          <cell r="BO81">
            <v>1E-3</v>
          </cell>
          <cell r="BS81">
            <v>1000</v>
          </cell>
          <cell r="BT81" t="str">
            <v>Ceiling (High)</v>
          </cell>
          <cell r="BV81">
            <v>3000</v>
          </cell>
          <cell r="BW81" t="str">
            <v>Ceiling (High)</v>
          </cell>
          <cell r="BY81">
            <v>5000</v>
          </cell>
          <cell r="BZ81" t="str">
            <v>Ceiling (High)</v>
          </cell>
          <cell r="CA81">
            <v>50000</v>
          </cell>
          <cell r="CB81" t="str">
            <v>0.005%</v>
          </cell>
          <cell r="CC81" t="str">
            <v>Y</v>
          </cell>
        </row>
        <row r="82">
          <cell r="A82" t="str">
            <v>METHYL TERT BUTYL ETHER</v>
          </cell>
          <cell r="B82" t="str">
            <v>1634-04-4</v>
          </cell>
          <cell r="C82">
            <v>42922</v>
          </cell>
          <cell r="D82">
            <v>0.1</v>
          </cell>
          <cell r="E82" t="str">
            <v>5a</v>
          </cell>
          <cell r="F82">
            <v>1</v>
          </cell>
          <cell r="G82" t="str">
            <v>5a</v>
          </cell>
          <cell r="H82">
            <v>3</v>
          </cell>
          <cell r="I82">
            <v>1</v>
          </cell>
          <cell r="J82">
            <v>3</v>
          </cell>
          <cell r="K82" t="str">
            <v>7c</v>
          </cell>
          <cell r="M82" t="str">
            <v>C</v>
          </cell>
          <cell r="Q82">
            <v>1</v>
          </cell>
          <cell r="R82" t="str">
            <v>9e</v>
          </cell>
          <cell r="S82">
            <v>0.03</v>
          </cell>
          <cell r="T82" t="str">
            <v>9e</v>
          </cell>
          <cell r="U82">
            <v>1</v>
          </cell>
          <cell r="V82" t="str">
            <v>9e</v>
          </cell>
          <cell r="W82">
            <v>0.03</v>
          </cell>
          <cell r="X82" t="str">
            <v>9e</v>
          </cell>
          <cell r="Y82" t="str">
            <v>NC</v>
          </cell>
          <cell r="AA82" t="str">
            <v>NC</v>
          </cell>
          <cell r="AC82">
            <v>1</v>
          </cell>
          <cell r="AD82">
            <v>9</v>
          </cell>
          <cell r="AE82">
            <v>1</v>
          </cell>
          <cell r="AF82">
            <v>9</v>
          </cell>
          <cell r="AK82">
            <v>1</v>
          </cell>
          <cell r="AL82" t="str">
            <v>NC</v>
          </cell>
          <cell r="AO82">
            <v>39</v>
          </cell>
          <cell r="AU82">
            <v>0</v>
          </cell>
          <cell r="AW82">
            <v>0</v>
          </cell>
          <cell r="AX82">
            <v>0.1</v>
          </cell>
          <cell r="AY82">
            <v>0.5</v>
          </cell>
          <cell r="AZ82">
            <v>51000000</v>
          </cell>
          <cell r="BA82">
            <v>22</v>
          </cell>
          <cell r="BB82">
            <v>5.8699999999999996E-4</v>
          </cell>
          <cell r="BC82">
            <v>22</v>
          </cell>
          <cell r="BD82">
            <v>2.4021934850220986E-2</v>
          </cell>
          <cell r="BE82">
            <v>88</v>
          </cell>
          <cell r="BF82">
            <v>15</v>
          </cell>
          <cell r="BG82">
            <v>245</v>
          </cell>
          <cell r="BH82">
            <v>0.94</v>
          </cell>
          <cell r="BI82">
            <v>14</v>
          </cell>
          <cell r="BJ82">
            <v>5.3703179637025285</v>
          </cell>
          <cell r="BK82" t="str">
            <v>calc</v>
          </cell>
          <cell r="BO82">
            <v>2.1261798598625221E-3</v>
          </cell>
          <cell r="BS82">
            <v>100</v>
          </cell>
          <cell r="BT82" t="str">
            <v>Ceiling (Low)</v>
          </cell>
          <cell r="BV82">
            <v>500</v>
          </cell>
          <cell r="BW82" t="str">
            <v>Ceiling (Low)</v>
          </cell>
          <cell r="BY82">
            <v>500</v>
          </cell>
          <cell r="BZ82" t="str">
            <v>High Volatility</v>
          </cell>
          <cell r="CA82">
            <v>50000</v>
          </cell>
          <cell r="CB82" t="str">
            <v>0.005%</v>
          </cell>
        </row>
        <row r="83">
          <cell r="A83" t="str">
            <v>METHYLNAPHTHALENE, 2-</v>
          </cell>
          <cell r="B83" t="str">
            <v>91-57-6</v>
          </cell>
          <cell r="C83">
            <v>42922</v>
          </cell>
          <cell r="D83">
            <v>4.0000000000000001E-3</v>
          </cell>
          <cell r="E83">
            <v>1</v>
          </cell>
          <cell r="F83">
            <v>4.0000000000000001E-3</v>
          </cell>
          <cell r="G83">
            <v>6</v>
          </cell>
          <cell r="H83">
            <v>0.05</v>
          </cell>
          <cell r="I83" t="str">
            <v>5d</v>
          </cell>
          <cell r="J83">
            <v>0.5</v>
          </cell>
          <cell r="K83" t="str">
            <v>5d</v>
          </cell>
          <cell r="Q83">
            <v>0.3</v>
          </cell>
          <cell r="R83" t="str">
            <v>9d</v>
          </cell>
          <cell r="S83">
            <v>0.1</v>
          </cell>
          <cell r="T83" t="str">
            <v>9d</v>
          </cell>
          <cell r="U83">
            <v>0.3</v>
          </cell>
          <cell r="V83" t="str">
            <v>9d</v>
          </cell>
          <cell r="W83">
            <v>0.1</v>
          </cell>
          <cell r="X83" t="str">
            <v>9d</v>
          </cell>
          <cell r="Y83" t="str">
            <v>NC</v>
          </cell>
          <cell r="AA83" t="str">
            <v>NC</v>
          </cell>
          <cell r="AC83">
            <v>1</v>
          </cell>
          <cell r="AD83">
            <v>9</v>
          </cell>
          <cell r="AE83">
            <v>1</v>
          </cell>
          <cell r="AF83">
            <v>9</v>
          </cell>
          <cell r="AI83">
            <v>1</v>
          </cell>
          <cell r="AK83">
            <v>0.92</v>
          </cell>
          <cell r="AL83" t="str">
            <v>NC</v>
          </cell>
          <cell r="AM83">
            <v>0.5</v>
          </cell>
          <cell r="AO83">
            <v>1.74</v>
          </cell>
          <cell r="AQ83">
            <v>0.3</v>
          </cell>
          <cell r="AR83">
            <v>10</v>
          </cell>
          <cell r="AS83">
            <v>13</v>
          </cell>
          <cell r="AT83">
            <v>68</v>
          </cell>
          <cell r="AU83">
            <v>1.1709064644275909E-2</v>
          </cell>
          <cell r="AV83">
            <v>28</v>
          </cell>
          <cell r="AW83">
            <v>5.8074664429530225</v>
          </cell>
          <cell r="AX83">
            <v>0.66</v>
          </cell>
          <cell r="AY83">
            <v>10</v>
          </cell>
          <cell r="AZ83">
            <v>24600</v>
          </cell>
          <cell r="BA83">
            <v>22</v>
          </cell>
          <cell r="BB83">
            <v>5.1800000000000001E-4</v>
          </cell>
          <cell r="BC83">
            <v>22</v>
          </cell>
          <cell r="BD83">
            <v>2.1198232116549354E-2</v>
          </cell>
          <cell r="BE83">
            <v>142</v>
          </cell>
          <cell r="BF83">
            <v>13</v>
          </cell>
          <cell r="BG83">
            <v>6.8000000000000005E-2</v>
          </cell>
          <cell r="BH83">
            <v>3.86</v>
          </cell>
          <cell r="BI83">
            <v>12</v>
          </cell>
          <cell r="BJ83">
            <v>2500</v>
          </cell>
          <cell r="BK83">
            <v>13</v>
          </cell>
          <cell r="BO83">
            <v>8.9618980686161434E-2</v>
          </cell>
          <cell r="BS83">
            <v>500</v>
          </cell>
          <cell r="BT83" t="str">
            <v>Ceiling (Medium)</v>
          </cell>
          <cell r="BV83">
            <v>1000</v>
          </cell>
          <cell r="BW83" t="str">
            <v>Ceiling (Medium)</v>
          </cell>
          <cell r="BY83">
            <v>3000</v>
          </cell>
          <cell r="BZ83" t="str">
            <v>Ceiling (Medium)</v>
          </cell>
          <cell r="CA83">
            <v>50000</v>
          </cell>
          <cell r="CB83" t="str">
            <v>0.005%</v>
          </cell>
        </row>
        <row r="84">
          <cell r="A84" t="str">
            <v>NAPHTHALENE</v>
          </cell>
          <cell r="B84" t="str">
            <v>91-20-3</v>
          </cell>
          <cell r="C84">
            <v>42922</v>
          </cell>
          <cell r="D84">
            <v>0.02</v>
          </cell>
          <cell r="E84">
            <v>1</v>
          </cell>
          <cell r="F84">
            <v>0.2</v>
          </cell>
          <cell r="G84" t="str">
            <v>1i</v>
          </cell>
          <cell r="H84">
            <v>3.0000000000000001E-3</v>
          </cell>
          <cell r="I84">
            <v>1</v>
          </cell>
          <cell r="J84">
            <v>3.0000000000000001E-3</v>
          </cell>
          <cell r="K84" t="str">
            <v>7c</v>
          </cell>
          <cell r="Q84">
            <v>0.3</v>
          </cell>
          <cell r="R84" t="str">
            <v>9d</v>
          </cell>
          <cell r="S84">
            <v>0.1</v>
          </cell>
          <cell r="T84" t="str">
            <v>9d</v>
          </cell>
          <cell r="U84">
            <v>0.3</v>
          </cell>
          <cell r="V84" t="str">
            <v>9d</v>
          </cell>
          <cell r="W84">
            <v>0.1</v>
          </cell>
          <cell r="X84" t="str">
            <v>9d</v>
          </cell>
          <cell r="Y84" t="str">
            <v>NC</v>
          </cell>
          <cell r="AA84" t="str">
            <v>NC</v>
          </cell>
          <cell r="AC84">
            <v>1</v>
          </cell>
          <cell r="AD84">
            <v>9</v>
          </cell>
          <cell r="AE84">
            <v>1</v>
          </cell>
          <cell r="AF84">
            <v>9</v>
          </cell>
          <cell r="AI84">
            <v>1</v>
          </cell>
          <cell r="AK84">
            <v>0.92</v>
          </cell>
          <cell r="AL84" t="str">
            <v>NC</v>
          </cell>
          <cell r="AM84">
            <v>0.5</v>
          </cell>
          <cell r="AO84">
            <v>2.7</v>
          </cell>
          <cell r="AP84">
            <v>5</v>
          </cell>
          <cell r="AR84">
            <v>21</v>
          </cell>
          <cell r="AS84">
            <v>13</v>
          </cell>
          <cell r="AT84">
            <v>440</v>
          </cell>
          <cell r="AU84">
            <v>8.4051282051282039E-2</v>
          </cell>
          <cell r="AV84">
            <v>13</v>
          </cell>
          <cell r="AW84">
            <v>0.9755948749237342</v>
          </cell>
          <cell r="AX84">
            <v>0.66</v>
          </cell>
          <cell r="AY84">
            <v>0.2</v>
          </cell>
          <cell r="AZ84">
            <v>31000</v>
          </cell>
          <cell r="BA84">
            <v>22</v>
          </cell>
          <cell r="BB84">
            <v>4.4000000000000002E-4</v>
          </cell>
          <cell r="BC84">
            <v>22</v>
          </cell>
          <cell r="BD84">
            <v>1.8006220330659684E-2</v>
          </cell>
          <cell r="BE84">
            <v>128</v>
          </cell>
          <cell r="BF84">
            <v>13</v>
          </cell>
          <cell r="BG84">
            <v>8.2000000000000003E-2</v>
          </cell>
          <cell r="BH84">
            <v>3.3</v>
          </cell>
          <cell r="BI84">
            <v>16</v>
          </cell>
          <cell r="BJ84">
            <v>1190</v>
          </cell>
          <cell r="BK84" t="str">
            <v>17a</v>
          </cell>
          <cell r="BL84">
            <v>80.2</v>
          </cell>
          <cell r="BM84">
            <v>17</v>
          </cell>
          <cell r="BO84">
            <v>4.5835291743818875E-2</v>
          </cell>
          <cell r="BS84">
            <v>500</v>
          </cell>
          <cell r="BT84" t="str">
            <v>Ceiling (Medium)</v>
          </cell>
          <cell r="BV84">
            <v>1000</v>
          </cell>
          <cell r="BW84" t="str">
            <v>Ceiling (Medium)</v>
          </cell>
          <cell r="BY84">
            <v>3000</v>
          </cell>
          <cell r="BZ84" t="str">
            <v>Ceiling (Medium)</v>
          </cell>
          <cell r="CA84">
            <v>50000</v>
          </cell>
          <cell r="CB84" t="str">
            <v>0.005%</v>
          </cell>
        </row>
        <row r="85">
          <cell r="A85" t="str">
            <v>NICKEL</v>
          </cell>
          <cell r="B85" t="str">
            <v>7440-02-0</v>
          </cell>
          <cell r="C85">
            <v>42923</v>
          </cell>
          <cell r="D85">
            <v>0.02</v>
          </cell>
          <cell r="E85">
            <v>1</v>
          </cell>
          <cell r="F85">
            <v>0.02</v>
          </cell>
          <cell r="G85">
            <v>2</v>
          </cell>
          <cell r="H85">
            <v>1E-3</v>
          </cell>
          <cell r="I85">
            <v>3</v>
          </cell>
          <cell r="J85">
            <v>1E-3</v>
          </cell>
          <cell r="K85" t="str">
            <v>7c</v>
          </cell>
          <cell r="M85" t="str">
            <v>A</v>
          </cell>
          <cell r="N85">
            <v>1</v>
          </cell>
          <cell r="O85">
            <v>4.8000000000000001E-4</v>
          </cell>
          <cell r="P85">
            <v>1</v>
          </cell>
          <cell r="Q85">
            <v>1</v>
          </cell>
          <cell r="R85" t="str">
            <v>9e</v>
          </cell>
          <cell r="S85">
            <v>0.2</v>
          </cell>
          <cell r="T85" t="str">
            <v>9e</v>
          </cell>
          <cell r="U85">
            <v>1</v>
          </cell>
          <cell r="V85" t="str">
            <v>9e</v>
          </cell>
          <cell r="W85">
            <v>0.2</v>
          </cell>
          <cell r="X85" t="str">
            <v>9e</v>
          </cell>
          <cell r="Y85" t="str">
            <v>NC</v>
          </cell>
          <cell r="AA85" t="str">
            <v>NC</v>
          </cell>
          <cell r="AC85">
            <v>1</v>
          </cell>
          <cell r="AD85">
            <v>9</v>
          </cell>
          <cell r="AE85">
            <v>1</v>
          </cell>
          <cell r="AF85">
            <v>9</v>
          </cell>
          <cell r="AI85">
            <v>30</v>
          </cell>
          <cell r="AK85">
            <v>0.1</v>
          </cell>
          <cell r="AL85" t="str">
            <v>NC</v>
          </cell>
          <cell r="AM85">
            <v>20</v>
          </cell>
          <cell r="AO85">
            <v>0</v>
          </cell>
          <cell r="AU85">
            <v>0</v>
          </cell>
          <cell r="AW85">
            <v>0</v>
          </cell>
          <cell r="AX85">
            <v>3</v>
          </cell>
          <cell r="AY85">
            <v>15</v>
          </cell>
          <cell r="AZ85">
            <v>0</v>
          </cell>
          <cell r="BD85">
            <v>0</v>
          </cell>
          <cell r="BE85">
            <v>59</v>
          </cell>
          <cell r="BF85">
            <v>13</v>
          </cell>
          <cell r="BH85">
            <v>-0.56999999999999995</v>
          </cell>
          <cell r="BJ85">
            <v>0</v>
          </cell>
          <cell r="BO85">
            <v>2.0000000000000001E-4</v>
          </cell>
          <cell r="BP85">
            <v>0.38</v>
          </cell>
          <cell r="BS85">
            <v>1000</v>
          </cell>
          <cell r="BT85" t="str">
            <v>Ceiling (High)</v>
          </cell>
          <cell r="BV85">
            <v>3000</v>
          </cell>
          <cell r="BW85" t="str">
            <v>Ceiling (High)</v>
          </cell>
          <cell r="BY85">
            <v>5000</v>
          </cell>
          <cell r="BZ85" t="str">
            <v>Ceiling (High)</v>
          </cell>
          <cell r="CA85">
            <v>50000</v>
          </cell>
          <cell r="CB85" t="str">
            <v>0.005%</v>
          </cell>
          <cell r="CC85" t="str">
            <v>Y</v>
          </cell>
        </row>
        <row r="86">
          <cell r="A86" t="str">
            <v>PENTACHLOROPHENOL</v>
          </cell>
          <cell r="B86" t="str">
            <v>87-86-5</v>
          </cell>
          <cell r="C86">
            <v>42922</v>
          </cell>
          <cell r="D86">
            <v>5.0000000000000001E-3</v>
          </cell>
          <cell r="E86">
            <v>1</v>
          </cell>
          <cell r="F86">
            <v>5.0000000000000001E-3</v>
          </cell>
          <cell r="G86" t="str">
            <v>1d</v>
          </cell>
          <cell r="H86">
            <v>6.9999999999999994E-5</v>
          </cell>
          <cell r="I86">
            <v>3</v>
          </cell>
          <cell r="J86">
            <v>6.9999999999999994E-5</v>
          </cell>
          <cell r="K86" t="str">
            <v>7c</v>
          </cell>
          <cell r="L86">
            <v>0.4</v>
          </cell>
          <cell r="M86" t="str">
            <v>B2</v>
          </cell>
          <cell r="N86">
            <v>1</v>
          </cell>
          <cell r="O86">
            <v>1E-4</v>
          </cell>
          <cell r="P86" t="str">
            <v>7a</v>
          </cell>
          <cell r="Q86">
            <v>1</v>
          </cell>
          <cell r="R86" t="str">
            <v>9e</v>
          </cell>
          <cell r="S86">
            <v>0.3</v>
          </cell>
          <cell r="T86" t="str">
            <v>9c</v>
          </cell>
          <cell r="U86">
            <v>1</v>
          </cell>
          <cell r="V86" t="str">
            <v>9e</v>
          </cell>
          <cell r="W86">
            <v>0.3</v>
          </cell>
          <cell r="X86" t="str">
            <v>9c</v>
          </cell>
          <cell r="Y86">
            <v>1</v>
          </cell>
          <cell r="Z86" t="str">
            <v>9e</v>
          </cell>
          <cell r="AA86">
            <v>0.3</v>
          </cell>
          <cell r="AB86" t="str">
            <v>9c</v>
          </cell>
          <cell r="AC86">
            <v>1</v>
          </cell>
          <cell r="AD86">
            <v>9</v>
          </cell>
          <cell r="AE86">
            <v>1</v>
          </cell>
          <cell r="AF86">
            <v>9</v>
          </cell>
          <cell r="AG86">
            <v>1</v>
          </cell>
          <cell r="AH86">
            <v>9</v>
          </cell>
          <cell r="AK86">
            <v>0.9</v>
          </cell>
          <cell r="AL86">
            <v>0.9</v>
          </cell>
          <cell r="AO86">
            <v>0</v>
          </cell>
          <cell r="AR86">
            <v>587</v>
          </cell>
          <cell r="AS86">
            <v>13</v>
          </cell>
          <cell r="AU86">
            <v>0</v>
          </cell>
          <cell r="AW86">
            <v>0</v>
          </cell>
          <cell r="AX86">
            <v>3.3</v>
          </cell>
          <cell r="AY86">
            <v>15</v>
          </cell>
          <cell r="AZ86">
            <v>14000</v>
          </cell>
          <cell r="BA86">
            <v>22</v>
          </cell>
          <cell r="BB86">
            <v>2.4500000000000001E-8</v>
          </cell>
          <cell r="BC86">
            <v>22</v>
          </cell>
          <cell r="BD86">
            <v>1.0026190865935506E-6</v>
          </cell>
          <cell r="BE86">
            <v>266</v>
          </cell>
          <cell r="BF86">
            <v>13</v>
          </cell>
          <cell r="BG86">
            <v>1.1E-4</v>
          </cell>
          <cell r="BH86">
            <v>5.12</v>
          </cell>
          <cell r="BI86">
            <v>16</v>
          </cell>
          <cell r="BJ86">
            <v>410</v>
          </cell>
          <cell r="BK86" t="str">
            <v>17b</v>
          </cell>
          <cell r="BL86">
            <v>174</v>
          </cell>
          <cell r="BM86">
            <v>17</v>
          </cell>
          <cell r="BO86">
            <v>0.12291361730601695</v>
          </cell>
          <cell r="BS86">
            <v>1000</v>
          </cell>
          <cell r="BT86" t="str">
            <v>Ceiling (High)</v>
          </cell>
          <cell r="BV86">
            <v>3000</v>
          </cell>
          <cell r="BW86" t="str">
            <v>Ceiling (High)</v>
          </cell>
          <cell r="BY86">
            <v>5000</v>
          </cell>
          <cell r="BZ86" t="str">
            <v>Ceiling (High)</v>
          </cell>
          <cell r="CA86">
            <v>50000</v>
          </cell>
          <cell r="CB86" t="str">
            <v>0.005%</v>
          </cell>
        </row>
        <row r="87">
          <cell r="A87" t="str">
            <v>PER- AND POLYFLUORALKYL SUBSTANCES (PFAS)</v>
          </cell>
          <cell r="B87" t="str">
            <v>NA</v>
          </cell>
          <cell r="D87">
            <v>5.0000000000000004E-6</v>
          </cell>
          <cell r="E87" t="str">
            <v>5i</v>
          </cell>
          <cell r="F87">
            <v>5.0000000000000004E-6</v>
          </cell>
          <cell r="G87" t="str">
            <v>5i</v>
          </cell>
          <cell r="H87">
            <v>2.0000000000000002E-5</v>
          </cell>
          <cell r="I87" t="str">
            <v>7b</v>
          </cell>
          <cell r="J87">
            <v>2.0000000000000002E-5</v>
          </cell>
          <cell r="K87" t="str">
            <v>7c</v>
          </cell>
          <cell r="Q87">
            <v>1</v>
          </cell>
          <cell r="S87">
            <v>0.1</v>
          </cell>
          <cell r="U87">
            <v>1</v>
          </cell>
          <cell r="W87">
            <v>0.1</v>
          </cell>
          <cell r="Y87" t="str">
            <v>NC</v>
          </cell>
          <cell r="AA87" t="str">
            <v>NC</v>
          </cell>
          <cell r="AC87">
            <v>1</v>
          </cell>
          <cell r="AD87">
            <v>9</v>
          </cell>
          <cell r="AE87">
            <v>1</v>
          </cell>
          <cell r="AF87">
            <v>9</v>
          </cell>
          <cell r="AX87">
            <v>2.0000000000000001E-4</v>
          </cell>
          <cell r="BS87">
            <v>1000</v>
          </cell>
          <cell r="BT87" t="str">
            <v>Ceiling (High)</v>
          </cell>
          <cell r="BV87">
            <v>3000</v>
          </cell>
          <cell r="BW87" t="str">
            <v>Ceiling (High)</v>
          </cell>
          <cell r="BY87">
            <v>5000</v>
          </cell>
          <cell r="BZ87" t="str">
            <v>Ceiling (High)</v>
          </cell>
          <cell r="CA87">
            <v>50000</v>
          </cell>
          <cell r="CB87" t="str">
            <v>0.005%</v>
          </cell>
        </row>
        <row r="88">
          <cell r="A88" t="str">
            <v>PERFLUORODECANOIC ACID (PFDA)</v>
          </cell>
          <cell r="B88" t="str">
            <v>335-76-2</v>
          </cell>
          <cell r="C88">
            <v>43374</v>
          </cell>
          <cell r="D88">
            <v>5.0000000000000004E-6</v>
          </cell>
          <cell r="E88" t="str">
            <v>5i</v>
          </cell>
          <cell r="F88">
            <v>5.0000000000000004E-6</v>
          </cell>
          <cell r="G88" t="str">
            <v>5i</v>
          </cell>
          <cell r="H88">
            <v>2.0000000000000002E-5</v>
          </cell>
          <cell r="I88" t="str">
            <v>7b</v>
          </cell>
          <cell r="J88">
            <v>2.0000000000000002E-5</v>
          </cell>
          <cell r="K88" t="str">
            <v>7c</v>
          </cell>
          <cell r="Q88">
            <v>1</v>
          </cell>
          <cell r="S88">
            <v>0.1</v>
          </cell>
          <cell r="U88">
            <v>1</v>
          </cell>
          <cell r="W88">
            <v>0.1</v>
          </cell>
          <cell r="Y88" t="str">
            <v>NC</v>
          </cell>
          <cell r="AA88" t="str">
            <v>NC</v>
          </cell>
          <cell r="AC88">
            <v>1</v>
          </cell>
          <cell r="AD88">
            <v>9</v>
          </cell>
          <cell r="AE88">
            <v>1</v>
          </cell>
          <cell r="AF88">
            <v>9</v>
          </cell>
          <cell r="AI88">
            <v>2.9999999999999997E-4</v>
          </cell>
          <cell r="AM88">
            <v>2.9999999999999997E-4</v>
          </cell>
          <cell r="AX88">
            <v>2.0000000000000001E-4</v>
          </cell>
          <cell r="BE88">
            <v>514</v>
          </cell>
          <cell r="BS88">
            <v>1000</v>
          </cell>
          <cell r="BT88" t="str">
            <v>Ceiling (High)</v>
          </cell>
          <cell r="BV88">
            <v>3000</v>
          </cell>
          <cell r="BW88" t="str">
            <v>Ceiling (High)</v>
          </cell>
          <cell r="BY88">
            <v>5000</v>
          </cell>
          <cell r="BZ88" t="str">
            <v>Ceiling (High)</v>
          </cell>
          <cell r="CA88">
            <v>50000</v>
          </cell>
          <cell r="CB88" t="str">
            <v>0.005%</v>
          </cell>
        </row>
        <row r="89">
          <cell r="A89" t="str">
            <v>PERFLUOROHEPTANOIC ACID (PFHpA)</v>
          </cell>
          <cell r="B89" t="str">
            <v>375-85-9</v>
          </cell>
          <cell r="C89">
            <v>42922</v>
          </cell>
          <cell r="D89">
            <v>5.0000000000000004E-6</v>
          </cell>
          <cell r="E89" t="str">
            <v>5i</v>
          </cell>
          <cell r="F89">
            <v>5.0000000000000004E-6</v>
          </cell>
          <cell r="G89" t="str">
            <v>5i</v>
          </cell>
          <cell r="H89">
            <v>2.0000000000000002E-5</v>
          </cell>
          <cell r="I89" t="str">
            <v>7b</v>
          </cell>
          <cell r="J89">
            <v>2.0000000000000002E-5</v>
          </cell>
          <cell r="K89" t="str">
            <v>7c</v>
          </cell>
          <cell r="Q89">
            <v>1</v>
          </cell>
          <cell r="S89">
            <v>0.1</v>
          </cell>
          <cell r="U89">
            <v>1</v>
          </cell>
          <cell r="W89">
            <v>0.1</v>
          </cell>
          <cell r="Y89" t="str">
            <v>NC</v>
          </cell>
          <cell r="AA89" t="str">
            <v>NC</v>
          </cell>
          <cell r="AC89">
            <v>1</v>
          </cell>
          <cell r="AD89">
            <v>9</v>
          </cell>
          <cell r="AE89">
            <v>1</v>
          </cell>
          <cell r="AF89">
            <v>9</v>
          </cell>
          <cell r="AI89">
            <v>5.0000000000000001E-4</v>
          </cell>
          <cell r="AM89">
            <v>5.0000000000000001E-4</v>
          </cell>
          <cell r="AX89">
            <v>2.0000000000000001E-4</v>
          </cell>
          <cell r="AY89">
            <v>0</v>
          </cell>
          <cell r="BE89">
            <v>364</v>
          </cell>
          <cell r="BS89">
            <v>1000</v>
          </cell>
          <cell r="BT89" t="str">
            <v>Ceiling (High)</v>
          </cell>
          <cell r="BV89">
            <v>3000</v>
          </cell>
          <cell r="BW89" t="str">
            <v>Ceiling (High)</v>
          </cell>
          <cell r="BY89">
            <v>5000</v>
          </cell>
          <cell r="BZ89" t="str">
            <v>Ceiling (High)</v>
          </cell>
          <cell r="CA89">
            <v>50000</v>
          </cell>
          <cell r="CB89" t="str">
            <v>0.005%</v>
          </cell>
        </row>
        <row r="90">
          <cell r="A90" t="str">
            <v>PERFLUOROHEXANESULFONIC ACID (PFHxS)</v>
          </cell>
          <cell r="B90" t="str">
            <v>335-46-4</v>
          </cell>
          <cell r="C90">
            <v>42922</v>
          </cell>
          <cell r="D90">
            <v>5.0000000000000004E-6</v>
          </cell>
          <cell r="E90" t="str">
            <v>5i</v>
          </cell>
          <cell r="F90">
            <v>5.0000000000000004E-6</v>
          </cell>
          <cell r="G90" t="str">
            <v>5i</v>
          </cell>
          <cell r="H90">
            <v>2.0000000000000002E-5</v>
          </cell>
          <cell r="I90" t="str">
            <v>7b</v>
          </cell>
          <cell r="J90">
            <v>2.0000000000000002E-5</v>
          </cell>
          <cell r="K90" t="str">
            <v>7c</v>
          </cell>
          <cell r="Q90">
            <v>1</v>
          </cell>
          <cell r="S90">
            <v>0.1</v>
          </cell>
          <cell r="U90">
            <v>1</v>
          </cell>
          <cell r="W90">
            <v>0.1</v>
          </cell>
          <cell r="Y90" t="str">
            <v>NC</v>
          </cell>
          <cell r="AA90" t="str">
            <v>NC</v>
          </cell>
          <cell r="AC90">
            <v>1</v>
          </cell>
          <cell r="AD90">
            <v>9</v>
          </cell>
          <cell r="AE90">
            <v>1</v>
          </cell>
          <cell r="AF90">
            <v>9</v>
          </cell>
          <cell r="AI90">
            <v>2.9999999999999997E-4</v>
          </cell>
          <cell r="AM90">
            <v>2.9999999999999997E-4</v>
          </cell>
          <cell r="AX90">
            <v>2.0000000000000001E-4</v>
          </cell>
          <cell r="AY90">
            <v>0</v>
          </cell>
          <cell r="BE90">
            <v>400</v>
          </cell>
          <cell r="BS90">
            <v>1000</v>
          </cell>
          <cell r="BT90" t="str">
            <v>Ceiling (High)</v>
          </cell>
          <cell r="BV90">
            <v>3000</v>
          </cell>
          <cell r="BW90" t="str">
            <v>Ceiling (High)</v>
          </cell>
          <cell r="BY90">
            <v>5000</v>
          </cell>
          <cell r="BZ90" t="str">
            <v>Ceiling (High)</v>
          </cell>
          <cell r="CA90">
            <v>50000</v>
          </cell>
          <cell r="CB90" t="str">
            <v>0.005%</v>
          </cell>
        </row>
        <row r="91">
          <cell r="A91" t="str">
            <v>PERFLUOROOCTANOIC ACID (PFOA)</v>
          </cell>
          <cell r="B91" t="str">
            <v>335-67-1</v>
          </cell>
          <cell r="C91">
            <v>42922</v>
          </cell>
          <cell r="D91">
            <v>5.0000000000000004E-6</v>
          </cell>
          <cell r="E91" t="str">
            <v>5i</v>
          </cell>
          <cell r="F91">
            <v>5.0000000000000004E-6</v>
          </cell>
          <cell r="G91" t="str">
            <v>5i</v>
          </cell>
          <cell r="H91">
            <v>2.0000000000000002E-5</v>
          </cell>
          <cell r="I91" t="str">
            <v>7b</v>
          </cell>
          <cell r="J91">
            <v>2.0000000000000002E-5</v>
          </cell>
          <cell r="K91" t="str">
            <v>7c</v>
          </cell>
          <cell r="Q91">
            <v>1</v>
          </cell>
          <cell r="S91">
            <v>0.1</v>
          </cell>
          <cell r="U91">
            <v>1</v>
          </cell>
          <cell r="W91">
            <v>0.1</v>
          </cell>
          <cell r="Y91" t="str">
            <v>NC</v>
          </cell>
          <cell r="AA91" t="str">
            <v>NC</v>
          </cell>
          <cell r="AC91">
            <v>1</v>
          </cell>
          <cell r="AD91">
            <v>9</v>
          </cell>
          <cell r="AE91">
            <v>1</v>
          </cell>
          <cell r="AF91">
            <v>9</v>
          </cell>
          <cell r="AI91">
            <v>7.2000000000000005E-4</v>
          </cell>
          <cell r="AM91">
            <v>7.2000000000000005E-4</v>
          </cell>
          <cell r="AX91">
            <v>2.0000000000000001E-4</v>
          </cell>
          <cell r="AY91">
            <v>0</v>
          </cell>
          <cell r="BE91">
            <v>414</v>
          </cell>
          <cell r="BS91">
            <v>1000</v>
          </cell>
          <cell r="BT91" t="str">
            <v>Ceiling (High)</v>
          </cell>
          <cell r="BV91">
            <v>3000</v>
          </cell>
          <cell r="BW91" t="str">
            <v>Ceiling (High)</v>
          </cell>
          <cell r="BY91">
            <v>5000</v>
          </cell>
          <cell r="BZ91" t="str">
            <v>Ceiling (High)</v>
          </cell>
          <cell r="CA91">
            <v>50000</v>
          </cell>
          <cell r="CB91" t="str">
            <v>0.005%</v>
          </cell>
        </row>
        <row r="92">
          <cell r="A92" t="str">
            <v>PERFLUOROOCTANESULFONIC ACID (PFOS)</v>
          </cell>
          <cell r="B92" t="str">
            <v>1763-23-1</v>
          </cell>
          <cell r="C92">
            <v>42922</v>
          </cell>
          <cell r="D92">
            <v>5.0000000000000004E-6</v>
          </cell>
          <cell r="E92" t="str">
            <v>5i</v>
          </cell>
          <cell r="F92">
            <v>5.0000000000000004E-6</v>
          </cell>
          <cell r="G92" t="str">
            <v>5i</v>
          </cell>
          <cell r="H92">
            <v>2.0000000000000002E-5</v>
          </cell>
          <cell r="I92" t="str">
            <v>7b</v>
          </cell>
          <cell r="J92">
            <v>2.0000000000000002E-5</v>
          </cell>
          <cell r="K92" t="str">
            <v>7c</v>
          </cell>
          <cell r="Q92">
            <v>1</v>
          </cell>
          <cell r="S92">
            <v>0.1</v>
          </cell>
          <cell r="U92">
            <v>1</v>
          </cell>
          <cell r="W92">
            <v>0.1</v>
          </cell>
          <cell r="Y92" t="str">
            <v>NC</v>
          </cell>
          <cell r="AA92" t="str">
            <v>NC</v>
          </cell>
          <cell r="AC92">
            <v>1</v>
          </cell>
          <cell r="AD92">
            <v>9</v>
          </cell>
          <cell r="AE92">
            <v>1</v>
          </cell>
          <cell r="AF92">
            <v>9</v>
          </cell>
          <cell r="AI92">
            <v>2E-3</v>
          </cell>
          <cell r="AM92">
            <v>2E-3</v>
          </cell>
          <cell r="AX92">
            <v>2.0000000000000001E-4</v>
          </cell>
          <cell r="AY92">
            <v>0</v>
          </cell>
          <cell r="BE92">
            <v>500</v>
          </cell>
          <cell r="BS92">
            <v>1000</v>
          </cell>
          <cell r="BT92" t="str">
            <v>Ceiling (High)</v>
          </cell>
          <cell r="BV92">
            <v>3000</v>
          </cell>
          <cell r="BW92" t="str">
            <v>Ceiling (High)</v>
          </cell>
          <cell r="BY92">
            <v>5000</v>
          </cell>
          <cell r="BZ92" t="str">
            <v>Ceiling (High)</v>
          </cell>
          <cell r="CA92">
            <v>50000</v>
          </cell>
          <cell r="CB92" t="str">
            <v>0.005%</v>
          </cell>
        </row>
        <row r="93">
          <cell r="A93" t="str">
            <v>PERFLUORONONANOIC ACID (PFNA)</v>
          </cell>
          <cell r="B93" t="str">
            <v>375-95-1</v>
          </cell>
          <cell r="C93">
            <v>42922</v>
          </cell>
          <cell r="D93">
            <v>5.0000000000000004E-6</v>
          </cell>
          <cell r="E93" t="str">
            <v>5i</v>
          </cell>
          <cell r="F93">
            <v>5.0000000000000004E-6</v>
          </cell>
          <cell r="G93" t="str">
            <v>5i</v>
          </cell>
          <cell r="H93">
            <v>2.0000000000000002E-5</v>
          </cell>
          <cell r="I93" t="str">
            <v>7b</v>
          </cell>
          <cell r="J93">
            <v>2.0000000000000002E-5</v>
          </cell>
          <cell r="K93" t="str">
            <v>7c</v>
          </cell>
          <cell r="Q93">
            <v>1</v>
          </cell>
          <cell r="S93">
            <v>0.1</v>
          </cell>
          <cell r="U93">
            <v>1</v>
          </cell>
          <cell r="W93">
            <v>0.1</v>
          </cell>
          <cell r="Y93" t="str">
            <v>NC</v>
          </cell>
          <cell r="AA93" t="str">
            <v>NC</v>
          </cell>
          <cell r="AC93">
            <v>1</v>
          </cell>
          <cell r="AD93">
            <v>9</v>
          </cell>
          <cell r="AE93">
            <v>1</v>
          </cell>
          <cell r="AF93">
            <v>9</v>
          </cell>
          <cell r="AI93">
            <v>3.2000000000000003E-4</v>
          </cell>
          <cell r="AM93">
            <v>3.2000000000000003E-4</v>
          </cell>
          <cell r="AX93">
            <v>2.0000000000000001E-4</v>
          </cell>
          <cell r="AY93">
            <v>0</v>
          </cell>
          <cell r="BE93">
            <v>464</v>
          </cell>
          <cell r="BS93">
            <v>1000</v>
          </cell>
          <cell r="BT93" t="str">
            <v>Ceiling (High)</v>
          </cell>
          <cell r="BV93">
            <v>3000</v>
          </cell>
          <cell r="BW93" t="str">
            <v>Ceiling (High)</v>
          </cell>
          <cell r="BY93">
            <v>5000</v>
          </cell>
          <cell r="BZ93" t="str">
            <v>Ceiling (High)</v>
          </cell>
          <cell r="CA93">
            <v>50000</v>
          </cell>
          <cell r="CB93" t="str">
            <v>0.005%</v>
          </cell>
        </row>
        <row r="94">
          <cell r="A94" t="str">
            <v>PERCHLORATE</v>
          </cell>
          <cell r="B94" t="str">
            <v>NA</v>
          </cell>
          <cell r="C94">
            <v>42922</v>
          </cell>
          <cell r="D94">
            <v>6.9999999999999994E-5</v>
          </cell>
          <cell r="E94" t="str">
            <v>5e</v>
          </cell>
          <cell r="F94">
            <v>6.9999999999999994E-5</v>
          </cell>
          <cell r="G94" t="str">
            <v>5e</v>
          </cell>
          <cell r="H94">
            <v>2.0000000000000001E-4</v>
          </cell>
          <cell r="I94" t="str">
            <v>7b</v>
          </cell>
          <cell r="J94">
            <v>2.0000000000000001E-4</v>
          </cell>
          <cell r="K94" t="str">
            <v>7c</v>
          </cell>
          <cell r="Q94">
            <v>1</v>
          </cell>
          <cell r="R94">
            <v>9</v>
          </cell>
          <cell r="S94">
            <v>0.1</v>
          </cell>
          <cell r="T94">
            <v>9</v>
          </cell>
          <cell r="U94">
            <v>1</v>
          </cell>
          <cell r="V94">
            <v>9</v>
          </cell>
          <cell r="W94">
            <v>0.1</v>
          </cell>
          <cell r="X94">
            <v>9</v>
          </cell>
          <cell r="Y94" t="str">
            <v>NC</v>
          </cell>
          <cell r="AA94" t="str">
            <v>NC</v>
          </cell>
          <cell r="AC94">
            <v>1</v>
          </cell>
          <cell r="AD94">
            <v>9</v>
          </cell>
          <cell r="AE94">
            <v>1</v>
          </cell>
          <cell r="AF94">
            <v>9</v>
          </cell>
          <cell r="AK94">
            <v>1</v>
          </cell>
          <cell r="AO94">
            <v>0</v>
          </cell>
          <cell r="AX94">
            <v>0.1</v>
          </cell>
          <cell r="AY94">
            <v>1</v>
          </cell>
          <cell r="AZ94">
            <v>0</v>
          </cell>
          <cell r="BD94">
            <v>0</v>
          </cell>
          <cell r="BO94">
            <v>0</v>
          </cell>
          <cell r="BS94">
            <v>1000</v>
          </cell>
          <cell r="BT94" t="str">
            <v>Ceiling (High)</v>
          </cell>
          <cell r="BV94">
            <v>3000</v>
          </cell>
          <cell r="BW94" t="str">
            <v>Ceiling (High)</v>
          </cell>
          <cell r="BY94">
            <v>5000</v>
          </cell>
          <cell r="BZ94" t="str">
            <v>Ceiling (High)</v>
          </cell>
          <cell r="CA94">
            <v>50000</v>
          </cell>
          <cell r="CB94" t="str">
            <v>0.005%</v>
          </cell>
        </row>
        <row r="95">
          <cell r="A95" t="str">
            <v>PETROLEUM HYDROCARBONS</v>
          </cell>
          <cell r="B95" t="str">
            <v>NA</v>
          </cell>
          <cell r="Q95">
            <v>1</v>
          </cell>
          <cell r="AC95">
            <v>1</v>
          </cell>
          <cell r="AD95">
            <v>9</v>
          </cell>
          <cell r="AE95">
            <v>1</v>
          </cell>
          <cell r="AF95">
            <v>9</v>
          </cell>
          <cell r="AO95">
            <v>0</v>
          </cell>
          <cell r="AW95">
            <v>0</v>
          </cell>
          <cell r="AX95">
            <v>0</v>
          </cell>
          <cell r="AY95">
            <v>0</v>
          </cell>
          <cell r="AZ95">
            <v>0</v>
          </cell>
          <cell r="BD95">
            <v>0</v>
          </cell>
        </row>
        <row r="96">
          <cell r="A96" t="str">
            <v>PETROLEUM HYDROCARBONS Aliphatics C5 to C8</v>
          </cell>
          <cell r="B96" t="str">
            <v>NA</v>
          </cell>
          <cell r="D96">
            <v>0.04</v>
          </cell>
          <cell r="E96" t="str">
            <v>5c</v>
          </cell>
          <cell r="F96">
            <v>0.4</v>
          </cell>
          <cell r="G96" t="str">
            <v>5c</v>
          </cell>
          <cell r="H96">
            <v>0.2</v>
          </cell>
          <cell r="I96" t="str">
            <v>5c</v>
          </cell>
          <cell r="J96">
            <v>0.2</v>
          </cell>
          <cell r="K96" t="str">
            <v>7c</v>
          </cell>
          <cell r="Q96">
            <v>1</v>
          </cell>
          <cell r="R96" t="str">
            <v>9e</v>
          </cell>
          <cell r="S96">
            <v>0.2</v>
          </cell>
          <cell r="T96" t="str">
            <v>9e</v>
          </cell>
          <cell r="U96">
            <v>1</v>
          </cell>
          <cell r="V96" t="str">
            <v>9e</v>
          </cell>
          <cell r="W96">
            <v>0.2</v>
          </cell>
          <cell r="X96" t="str">
            <v>9e</v>
          </cell>
          <cell r="Y96" t="str">
            <v>NC</v>
          </cell>
          <cell r="AA96" t="str">
            <v>NC</v>
          </cell>
          <cell r="AC96">
            <v>1</v>
          </cell>
          <cell r="AD96">
            <v>9</v>
          </cell>
          <cell r="AE96">
            <v>1</v>
          </cell>
          <cell r="AF96">
            <v>9</v>
          </cell>
          <cell r="AK96">
            <v>1</v>
          </cell>
          <cell r="AL96" t="str">
            <v>NC</v>
          </cell>
          <cell r="AO96">
            <v>330</v>
          </cell>
          <cell r="AU96">
            <v>0</v>
          </cell>
          <cell r="AW96">
            <v>0</v>
          </cell>
          <cell r="AX96">
            <v>0</v>
          </cell>
          <cell r="AY96">
            <v>0</v>
          </cell>
          <cell r="AZ96">
            <v>11000</v>
          </cell>
          <cell r="BA96" t="str">
            <v>18b</v>
          </cell>
          <cell r="BB96">
            <v>1.296</v>
          </cell>
          <cell r="BC96" t="str">
            <v>18b</v>
          </cell>
          <cell r="BD96">
            <v>54</v>
          </cell>
          <cell r="BE96">
            <v>93</v>
          </cell>
          <cell r="BG96">
            <v>76</v>
          </cell>
          <cell r="BH96">
            <v>3.85</v>
          </cell>
          <cell r="BI96" t="str">
            <v>18a</v>
          </cell>
          <cell r="BJ96">
            <v>2265</v>
          </cell>
          <cell r="BO96">
            <v>0.16603513514585116</v>
          </cell>
          <cell r="BS96">
            <v>100</v>
          </cell>
          <cell r="BT96" t="str">
            <v>Ceiling (Low)</v>
          </cell>
          <cell r="BV96">
            <v>500</v>
          </cell>
          <cell r="BW96" t="str">
            <v>Ceiling (Low)</v>
          </cell>
          <cell r="BY96">
            <v>500</v>
          </cell>
          <cell r="BZ96" t="str">
            <v>High Volatility</v>
          </cell>
          <cell r="CA96">
            <v>50000</v>
          </cell>
          <cell r="CB96" t="str">
            <v>0.005%</v>
          </cell>
        </row>
        <row r="97">
          <cell r="A97" t="str">
            <v>PETROLEUM HYDROCARBONS Aliphatics C9 to C12</v>
          </cell>
          <cell r="B97" t="str">
            <v>NA</v>
          </cell>
          <cell r="D97">
            <v>0.1</v>
          </cell>
          <cell r="E97" t="str">
            <v>5c</v>
          </cell>
          <cell r="F97">
            <v>1</v>
          </cell>
          <cell r="G97" t="str">
            <v>5c</v>
          </cell>
          <cell r="H97">
            <v>0.2</v>
          </cell>
          <cell r="I97" t="str">
            <v>5c</v>
          </cell>
          <cell r="J97">
            <v>0.6</v>
          </cell>
          <cell r="K97" t="str">
            <v>5c</v>
          </cell>
          <cell r="Q97">
            <v>1</v>
          </cell>
          <cell r="R97" t="str">
            <v>9e</v>
          </cell>
          <cell r="S97">
            <v>0.2</v>
          </cell>
          <cell r="T97" t="str">
            <v>9e</v>
          </cell>
          <cell r="U97">
            <v>1</v>
          </cell>
          <cell r="V97" t="str">
            <v>9e</v>
          </cell>
          <cell r="W97">
            <v>0.2</v>
          </cell>
          <cell r="X97" t="str">
            <v>9e</v>
          </cell>
          <cell r="Y97" t="str">
            <v>NC</v>
          </cell>
          <cell r="AA97" t="str">
            <v>NC</v>
          </cell>
          <cell r="AC97">
            <v>1</v>
          </cell>
          <cell r="AD97">
            <v>9</v>
          </cell>
          <cell r="AE97">
            <v>1</v>
          </cell>
          <cell r="AF97">
            <v>9</v>
          </cell>
          <cell r="AK97">
            <v>1</v>
          </cell>
          <cell r="AL97" t="str">
            <v>NC</v>
          </cell>
          <cell r="AO97">
            <v>220</v>
          </cell>
          <cell r="AU97">
            <v>0</v>
          </cell>
          <cell r="AW97">
            <v>0</v>
          </cell>
          <cell r="AX97">
            <v>0</v>
          </cell>
          <cell r="AY97">
            <v>0</v>
          </cell>
          <cell r="AZ97">
            <v>70</v>
          </cell>
          <cell r="BA97" t="str">
            <v>18b</v>
          </cell>
          <cell r="BB97">
            <v>1.56</v>
          </cell>
          <cell r="BC97" t="str">
            <v>18b</v>
          </cell>
          <cell r="BD97">
            <v>65</v>
          </cell>
          <cell r="BE97">
            <v>149</v>
          </cell>
          <cell r="BG97">
            <v>0.66120000000000001</v>
          </cell>
          <cell r="BH97">
            <v>5.52</v>
          </cell>
          <cell r="BI97" t="str">
            <v>18a</v>
          </cell>
          <cell r="BJ97">
            <v>150000</v>
          </cell>
          <cell r="BO97">
            <v>1.020469431942199</v>
          </cell>
          <cell r="BS97">
            <v>1000</v>
          </cell>
          <cell r="BT97" t="str">
            <v>Ceiling (High)</v>
          </cell>
          <cell r="BV97">
            <v>3000</v>
          </cell>
          <cell r="BW97" t="str">
            <v>Ceiling (High)</v>
          </cell>
          <cell r="BY97">
            <v>5000</v>
          </cell>
          <cell r="BZ97" t="str">
            <v>Ceiling (High)</v>
          </cell>
          <cell r="CA97">
            <v>50000</v>
          </cell>
          <cell r="CB97" t="str">
            <v>0.005%</v>
          </cell>
        </row>
        <row r="98">
          <cell r="A98" t="str">
            <v>PETROLEUM HYDROCARBONS Aliphatics C9 to C18</v>
          </cell>
          <cell r="B98" t="str">
            <v>NA</v>
          </cell>
          <cell r="D98">
            <v>0.1</v>
          </cell>
          <cell r="E98" t="str">
            <v>5c</v>
          </cell>
          <cell r="F98">
            <v>1</v>
          </cell>
          <cell r="G98" t="str">
            <v>5c</v>
          </cell>
          <cell r="H98">
            <v>0.2</v>
          </cell>
          <cell r="I98" t="str">
            <v>5c</v>
          </cell>
          <cell r="J98">
            <v>0.6</v>
          </cell>
          <cell r="K98" t="str">
            <v>5c</v>
          </cell>
          <cell r="Q98">
            <v>1</v>
          </cell>
          <cell r="R98" t="str">
            <v>9e</v>
          </cell>
          <cell r="S98">
            <v>0.2</v>
          </cell>
          <cell r="T98" t="str">
            <v>9e</v>
          </cell>
          <cell r="U98">
            <v>1</v>
          </cell>
          <cell r="V98" t="str">
            <v>9e</v>
          </cell>
          <cell r="W98">
            <v>0.2</v>
          </cell>
          <cell r="X98" t="str">
            <v>9e</v>
          </cell>
          <cell r="Y98" t="str">
            <v>NC</v>
          </cell>
          <cell r="AA98" t="str">
            <v>NC</v>
          </cell>
          <cell r="AC98">
            <v>1</v>
          </cell>
          <cell r="AD98">
            <v>9</v>
          </cell>
          <cell r="AE98">
            <v>1</v>
          </cell>
          <cell r="AF98">
            <v>9</v>
          </cell>
          <cell r="AK98">
            <v>1</v>
          </cell>
          <cell r="AL98" t="str">
            <v>NC</v>
          </cell>
          <cell r="AO98">
            <v>100</v>
          </cell>
          <cell r="AU98">
            <v>0</v>
          </cell>
          <cell r="AW98">
            <v>0</v>
          </cell>
          <cell r="AX98">
            <v>0</v>
          </cell>
          <cell r="AY98">
            <v>0</v>
          </cell>
          <cell r="AZ98">
            <v>10</v>
          </cell>
          <cell r="BA98" t="str">
            <v>18b</v>
          </cell>
          <cell r="BB98">
            <v>1.6560000000000001</v>
          </cell>
          <cell r="BC98" t="str">
            <v>18b</v>
          </cell>
          <cell r="BD98">
            <v>69</v>
          </cell>
          <cell r="BE98">
            <v>170</v>
          </cell>
          <cell r="BG98">
            <v>0.106</v>
          </cell>
          <cell r="BH98">
            <v>5.94</v>
          </cell>
          <cell r="BI98" t="str">
            <v>18a</v>
          </cell>
          <cell r="BJ98">
            <v>680000</v>
          </cell>
          <cell r="BO98">
            <v>1.4736691770366908</v>
          </cell>
          <cell r="BS98">
            <v>1000</v>
          </cell>
          <cell r="BT98" t="str">
            <v>Ceiling (High)</v>
          </cell>
          <cell r="BV98">
            <v>3000</v>
          </cell>
          <cell r="BW98" t="str">
            <v>Ceiling (High)</v>
          </cell>
          <cell r="BY98">
            <v>5000</v>
          </cell>
          <cell r="BZ98" t="str">
            <v>Ceiling (High)</v>
          </cell>
          <cell r="CA98">
            <v>50000</v>
          </cell>
          <cell r="CB98" t="str">
            <v>0.005%</v>
          </cell>
        </row>
        <row r="99">
          <cell r="A99" t="str">
            <v>PETROLEUM HYDROCARBONS Aliphatics C19 to C36</v>
          </cell>
          <cell r="B99" t="str">
            <v>NA</v>
          </cell>
          <cell r="D99">
            <v>2</v>
          </cell>
          <cell r="E99" t="str">
            <v>5c</v>
          </cell>
          <cell r="F99">
            <v>6</v>
          </cell>
          <cell r="G99" t="str">
            <v>5c</v>
          </cell>
          <cell r="Q99">
            <v>1</v>
          </cell>
          <cell r="R99" t="str">
            <v>9e</v>
          </cell>
          <cell r="S99">
            <v>0.2</v>
          </cell>
          <cell r="T99" t="str">
            <v>9e</v>
          </cell>
          <cell r="U99">
            <v>1</v>
          </cell>
          <cell r="V99" t="str">
            <v>9e</v>
          </cell>
          <cell r="W99">
            <v>0.2</v>
          </cell>
          <cell r="X99" t="str">
            <v>9e</v>
          </cell>
          <cell r="Y99" t="str">
            <v>NC</v>
          </cell>
          <cell r="AA99" t="str">
            <v>NC</v>
          </cell>
          <cell r="AC99">
            <v>1</v>
          </cell>
          <cell r="AD99">
            <v>9</v>
          </cell>
          <cell r="AE99">
            <v>1</v>
          </cell>
          <cell r="AF99">
            <v>9</v>
          </cell>
          <cell r="AK99">
            <v>1</v>
          </cell>
          <cell r="AL99" t="str">
            <v>NC</v>
          </cell>
          <cell r="AO99">
            <v>0</v>
          </cell>
          <cell r="AW99">
            <v>0</v>
          </cell>
          <cell r="AX99">
            <v>0</v>
          </cell>
          <cell r="AY99">
            <v>0</v>
          </cell>
          <cell r="AZ99">
            <v>0</v>
          </cell>
          <cell r="BD99">
            <v>0</v>
          </cell>
          <cell r="BJ99">
            <v>0</v>
          </cell>
          <cell r="BO99">
            <v>0</v>
          </cell>
          <cell r="BS99">
            <v>3000</v>
          </cell>
          <cell r="BT99" t="str">
            <v>Ceiling (High)</v>
          </cell>
          <cell r="BV99">
            <v>5000</v>
          </cell>
          <cell r="BW99" t="str">
            <v>Ceiling (High)</v>
          </cell>
          <cell r="BY99">
            <v>5000</v>
          </cell>
          <cell r="BZ99" t="str">
            <v>Ceiling (High)</v>
          </cell>
          <cell r="CA99">
            <v>50000</v>
          </cell>
          <cell r="CB99" t="str">
            <v>0.005%</v>
          </cell>
        </row>
        <row r="100">
          <cell r="A100" t="str">
            <v>PETROLEUM HYDROCARBONS Aromatics C9 to C10</v>
          </cell>
          <cell r="B100" t="str">
            <v>NA</v>
          </cell>
          <cell r="D100">
            <v>0.03</v>
          </cell>
          <cell r="E100" t="str">
            <v>5c</v>
          </cell>
          <cell r="F100">
            <v>0.3</v>
          </cell>
          <cell r="G100" t="str">
            <v>5c</v>
          </cell>
          <cell r="H100">
            <v>0.05</v>
          </cell>
          <cell r="I100" t="str">
            <v>5c</v>
          </cell>
          <cell r="J100">
            <v>0.5</v>
          </cell>
          <cell r="K100" t="str">
            <v>5c</v>
          </cell>
          <cell r="Q100">
            <v>1</v>
          </cell>
          <cell r="R100" t="str">
            <v>9e</v>
          </cell>
          <cell r="S100">
            <v>0.2</v>
          </cell>
          <cell r="T100" t="str">
            <v>9e</v>
          </cell>
          <cell r="U100">
            <v>1</v>
          </cell>
          <cell r="V100" t="str">
            <v>9e</v>
          </cell>
          <cell r="W100">
            <v>0.2</v>
          </cell>
          <cell r="X100" t="str">
            <v>9e</v>
          </cell>
          <cell r="Y100" t="str">
            <v>NC</v>
          </cell>
          <cell r="AA100" t="str">
            <v>NC</v>
          </cell>
          <cell r="AC100">
            <v>1</v>
          </cell>
          <cell r="AD100">
            <v>9</v>
          </cell>
          <cell r="AE100">
            <v>1</v>
          </cell>
          <cell r="AF100">
            <v>9</v>
          </cell>
          <cell r="AK100">
            <v>1</v>
          </cell>
          <cell r="AL100" t="str">
            <v>NC</v>
          </cell>
          <cell r="AO100">
            <v>44</v>
          </cell>
          <cell r="AU100">
            <v>0</v>
          </cell>
          <cell r="AW100">
            <v>0</v>
          </cell>
          <cell r="AX100">
            <v>0</v>
          </cell>
          <cell r="AY100">
            <v>0</v>
          </cell>
          <cell r="AZ100">
            <v>51000</v>
          </cell>
          <cell r="BA100" t="str">
            <v>18b</v>
          </cell>
          <cell r="BB100">
            <v>7.92E-3</v>
          </cell>
          <cell r="BC100" t="str">
            <v>18b</v>
          </cell>
          <cell r="BD100">
            <v>0.33</v>
          </cell>
          <cell r="BE100">
            <v>120</v>
          </cell>
          <cell r="BG100">
            <v>2.2040000000000002</v>
          </cell>
          <cell r="BH100">
            <v>3.93</v>
          </cell>
          <cell r="BI100" t="str">
            <v>18a</v>
          </cell>
          <cell r="BJ100">
            <v>1778</v>
          </cell>
          <cell r="BO100">
            <v>0.13237317937881946</v>
          </cell>
          <cell r="BS100">
            <v>100</v>
          </cell>
          <cell r="BT100" t="str">
            <v>Ceiling (Low)</v>
          </cell>
          <cell r="BV100">
            <v>500</v>
          </cell>
          <cell r="BW100" t="str">
            <v>Ceiling (Low)</v>
          </cell>
          <cell r="BY100">
            <v>500</v>
          </cell>
          <cell r="BZ100" t="str">
            <v>High Volatility</v>
          </cell>
          <cell r="CA100">
            <v>50000</v>
          </cell>
          <cell r="CB100" t="str">
            <v>0.005%</v>
          </cell>
        </row>
        <row r="101">
          <cell r="A101" t="str">
            <v>PETROLEUM HYDROCARBONS Aromatics C11 to C22</v>
          </cell>
          <cell r="B101" t="str">
            <v>NA</v>
          </cell>
          <cell r="D101">
            <v>0.03</v>
          </cell>
          <cell r="E101" t="str">
            <v>5c</v>
          </cell>
          <cell r="F101">
            <v>0.3</v>
          </cell>
          <cell r="G101" t="str">
            <v>5c</v>
          </cell>
          <cell r="H101">
            <v>0.05</v>
          </cell>
          <cell r="I101" t="str">
            <v>5c</v>
          </cell>
          <cell r="J101">
            <v>0.5</v>
          </cell>
          <cell r="K101" t="str">
            <v>5c</v>
          </cell>
          <cell r="Q101">
            <v>0.3</v>
          </cell>
          <cell r="R101" t="str">
            <v>9d</v>
          </cell>
          <cell r="S101">
            <v>0.1</v>
          </cell>
          <cell r="T101" t="str">
            <v>9d</v>
          </cell>
          <cell r="U101">
            <v>0.3</v>
          </cell>
          <cell r="V101" t="str">
            <v>9d</v>
          </cell>
          <cell r="W101">
            <v>0.1</v>
          </cell>
          <cell r="X101" t="str">
            <v>9d</v>
          </cell>
          <cell r="Y101" t="str">
            <v>NC</v>
          </cell>
          <cell r="AA101" t="str">
            <v>NC</v>
          </cell>
          <cell r="AC101">
            <v>1</v>
          </cell>
          <cell r="AD101">
            <v>9</v>
          </cell>
          <cell r="AE101">
            <v>1</v>
          </cell>
          <cell r="AF101">
            <v>9</v>
          </cell>
          <cell r="AK101">
            <v>0.92</v>
          </cell>
          <cell r="AL101" t="str">
            <v>NC</v>
          </cell>
          <cell r="AO101">
            <v>50</v>
          </cell>
          <cell r="AU101">
            <v>0</v>
          </cell>
          <cell r="AW101">
            <v>0</v>
          </cell>
          <cell r="AX101">
            <v>0</v>
          </cell>
          <cell r="AY101">
            <v>0</v>
          </cell>
          <cell r="AZ101">
            <v>5800</v>
          </cell>
          <cell r="BA101" t="str">
            <v>18b</v>
          </cell>
          <cell r="BB101">
            <v>7.1999999999999994E-4</v>
          </cell>
          <cell r="BC101" t="str">
            <v>18b</v>
          </cell>
          <cell r="BD101">
            <v>0.03</v>
          </cell>
          <cell r="BE101">
            <v>150</v>
          </cell>
          <cell r="BG101">
            <v>2.4E-2</v>
          </cell>
          <cell r="BH101">
            <v>5.09</v>
          </cell>
          <cell r="BI101" t="str">
            <v>18a</v>
          </cell>
          <cell r="BJ101">
            <v>5012</v>
          </cell>
          <cell r="BO101">
            <v>0.52408291256402928</v>
          </cell>
          <cell r="BS101">
            <v>1000</v>
          </cell>
          <cell r="BT101" t="str">
            <v>Ceiling (High)</v>
          </cell>
          <cell r="BV101">
            <v>3000</v>
          </cell>
          <cell r="BW101" t="str">
            <v>Ceiling (High)</v>
          </cell>
          <cell r="BY101">
            <v>5000</v>
          </cell>
          <cell r="BZ101" t="str">
            <v>Ceiling (High)</v>
          </cell>
          <cell r="CA101">
            <v>50000</v>
          </cell>
          <cell r="CB101" t="str">
            <v>0.005%</v>
          </cell>
        </row>
        <row r="102">
          <cell r="A102" t="str">
            <v>PHENANTHRENE</v>
          </cell>
          <cell r="B102" t="str">
            <v>85-01-8</v>
          </cell>
          <cell r="C102">
            <v>42922</v>
          </cell>
          <cell r="D102">
            <v>0.03</v>
          </cell>
          <cell r="E102" t="str">
            <v>5d</v>
          </cell>
          <cell r="F102">
            <v>0.3</v>
          </cell>
          <cell r="G102" t="str">
            <v>5d</v>
          </cell>
          <cell r="H102">
            <v>0.05</v>
          </cell>
          <cell r="I102" t="str">
            <v>5d</v>
          </cell>
          <cell r="J102">
            <v>0.5</v>
          </cell>
          <cell r="K102" t="str">
            <v>5d</v>
          </cell>
          <cell r="M102" t="str">
            <v>D</v>
          </cell>
          <cell r="N102">
            <v>1</v>
          </cell>
          <cell r="Q102">
            <v>0.3</v>
          </cell>
          <cell r="R102" t="str">
            <v>9d</v>
          </cell>
          <cell r="S102">
            <v>0.1</v>
          </cell>
          <cell r="T102" t="str">
            <v>9d</v>
          </cell>
          <cell r="U102">
            <v>0.3</v>
          </cell>
          <cell r="V102" t="str">
            <v>9e</v>
          </cell>
          <cell r="W102">
            <v>0.1</v>
          </cell>
          <cell r="X102" t="str">
            <v>9d</v>
          </cell>
          <cell r="Y102" t="str">
            <v>NC</v>
          </cell>
          <cell r="AA102" t="str">
            <v>NC</v>
          </cell>
          <cell r="AC102">
            <v>1</v>
          </cell>
          <cell r="AD102">
            <v>9</v>
          </cell>
          <cell r="AE102">
            <v>1</v>
          </cell>
          <cell r="AF102">
            <v>9</v>
          </cell>
          <cell r="AI102">
            <v>20</v>
          </cell>
          <cell r="AK102">
            <v>0.92</v>
          </cell>
          <cell r="AL102" t="str">
            <v>NC</v>
          </cell>
          <cell r="AM102">
            <v>3</v>
          </cell>
          <cell r="AO102">
            <v>0</v>
          </cell>
          <cell r="AR102">
            <v>1000</v>
          </cell>
          <cell r="AS102">
            <v>24</v>
          </cell>
          <cell r="AT102">
            <v>55</v>
          </cell>
          <cell r="AU102">
            <v>7.5551714203399593E-3</v>
          </cell>
          <cell r="AV102">
            <v>24</v>
          </cell>
          <cell r="AW102">
            <v>0.12706528370957901</v>
          </cell>
          <cell r="AX102">
            <v>0.66</v>
          </cell>
          <cell r="AY102">
            <v>1</v>
          </cell>
          <cell r="AZ102">
            <v>1150</v>
          </cell>
          <cell r="BA102">
            <v>22</v>
          </cell>
          <cell r="BB102">
            <v>4.2299999999999998E-5</v>
          </cell>
          <cell r="BC102">
            <v>22</v>
          </cell>
          <cell r="BD102">
            <v>1.7310525454247831E-3</v>
          </cell>
          <cell r="BE102">
            <v>178</v>
          </cell>
          <cell r="BF102">
            <v>13</v>
          </cell>
          <cell r="BG102">
            <v>9.6000000000000002E-4</v>
          </cell>
          <cell r="BH102">
            <v>4.46</v>
          </cell>
          <cell r="BI102">
            <v>16</v>
          </cell>
          <cell r="BJ102">
            <v>14000</v>
          </cell>
          <cell r="BK102">
            <v>13</v>
          </cell>
          <cell r="BO102">
            <v>0.14021678337057589</v>
          </cell>
          <cell r="BS102">
            <v>500</v>
          </cell>
          <cell r="BT102" t="str">
            <v>Ceiling (Medium)</v>
          </cell>
          <cell r="BV102">
            <v>1000</v>
          </cell>
          <cell r="BW102" t="str">
            <v>Ceiling (Medium)</v>
          </cell>
          <cell r="BY102">
            <v>3000</v>
          </cell>
          <cell r="BZ102" t="str">
            <v>Ceiling (Medium)</v>
          </cell>
          <cell r="CA102">
            <v>50000</v>
          </cell>
          <cell r="CB102" t="str">
            <v>0.005%</v>
          </cell>
        </row>
        <row r="103">
          <cell r="A103" t="str">
            <v>PHENOL</v>
          </cell>
          <cell r="B103" t="str">
            <v>108-95-2</v>
          </cell>
          <cell r="C103">
            <v>42922</v>
          </cell>
          <cell r="D103">
            <v>0.3</v>
          </cell>
          <cell r="E103">
            <v>1</v>
          </cell>
          <cell r="F103">
            <v>0.3</v>
          </cell>
          <cell r="G103" t="str">
            <v>1d</v>
          </cell>
          <cell r="H103">
            <v>0.26</v>
          </cell>
          <cell r="I103">
            <v>3</v>
          </cell>
          <cell r="J103">
            <v>0.26</v>
          </cell>
          <cell r="K103" t="str">
            <v>7c</v>
          </cell>
          <cell r="M103" t="str">
            <v>D</v>
          </cell>
          <cell r="N103">
            <v>1</v>
          </cell>
          <cell r="Q103">
            <v>1</v>
          </cell>
          <cell r="R103" t="str">
            <v>9e</v>
          </cell>
          <cell r="S103">
            <v>0.3</v>
          </cell>
          <cell r="T103" t="str">
            <v>9b</v>
          </cell>
          <cell r="U103">
            <v>1</v>
          </cell>
          <cell r="V103" t="str">
            <v>9e</v>
          </cell>
          <cell r="W103">
            <v>0.3</v>
          </cell>
          <cell r="X103" t="str">
            <v>9b</v>
          </cell>
          <cell r="Y103" t="str">
            <v>NC</v>
          </cell>
          <cell r="AA103" t="str">
            <v>NC</v>
          </cell>
          <cell r="AC103">
            <v>1</v>
          </cell>
          <cell r="AD103">
            <v>9</v>
          </cell>
          <cell r="AE103">
            <v>1</v>
          </cell>
          <cell r="AF103">
            <v>9</v>
          </cell>
          <cell r="AK103">
            <v>1</v>
          </cell>
          <cell r="AL103" t="str">
            <v>NC</v>
          </cell>
          <cell r="AO103">
            <v>0</v>
          </cell>
          <cell r="AR103">
            <v>7900</v>
          </cell>
          <cell r="AS103">
            <v>13</v>
          </cell>
          <cell r="AT103">
            <v>156.80000000000001</v>
          </cell>
          <cell r="AU103">
            <v>4.0786819421713041E-2</v>
          </cell>
          <cell r="AV103">
            <v>13</v>
          </cell>
          <cell r="AW103">
            <v>8.5812035594439102</v>
          </cell>
          <cell r="AX103">
            <v>0.66</v>
          </cell>
          <cell r="AY103">
            <v>10</v>
          </cell>
          <cell r="AZ103">
            <v>82800000</v>
          </cell>
          <cell r="BA103">
            <v>22</v>
          </cell>
          <cell r="BB103">
            <v>3.3299999999999998E-7</v>
          </cell>
          <cell r="BC103">
            <v>22</v>
          </cell>
          <cell r="BD103">
            <v>1.3627434932067441E-5</v>
          </cell>
          <cell r="BE103">
            <v>94</v>
          </cell>
          <cell r="BF103">
            <v>13</v>
          </cell>
          <cell r="BG103">
            <v>0.35</v>
          </cell>
          <cell r="BH103">
            <v>1.46</v>
          </cell>
          <cell r="BI103">
            <v>16</v>
          </cell>
          <cell r="BJ103">
            <v>28.8</v>
          </cell>
          <cell r="BK103" t="str">
            <v>17b</v>
          </cell>
          <cell r="BL103">
            <v>40.9</v>
          </cell>
          <cell r="BM103">
            <v>17</v>
          </cell>
          <cell r="BO103">
            <v>4.3371056350044119E-3</v>
          </cell>
          <cell r="BS103">
            <v>500</v>
          </cell>
          <cell r="BT103" t="str">
            <v>Ceiling (Medium)</v>
          </cell>
          <cell r="BV103">
            <v>1000</v>
          </cell>
          <cell r="BW103" t="str">
            <v>Ceiling (Medium)</v>
          </cell>
          <cell r="BY103">
            <v>3000</v>
          </cell>
          <cell r="BZ103" t="str">
            <v>Ceiling (Medium)</v>
          </cell>
          <cell r="CA103">
            <v>50000</v>
          </cell>
          <cell r="CB103" t="str">
            <v>0.005%</v>
          </cell>
        </row>
        <row r="104">
          <cell r="A104" t="str">
            <v>POLYCHLORINATED BIPHENYLS (PCBs)</v>
          </cell>
          <cell r="B104" t="str">
            <v>1336-36-3</v>
          </cell>
          <cell r="C104">
            <v>42923</v>
          </cell>
          <cell r="D104">
            <v>2.0000000000000002E-5</v>
          </cell>
          <cell r="E104">
            <v>1</v>
          </cell>
          <cell r="F104">
            <v>5.0000000000000002E-5</v>
          </cell>
          <cell r="G104">
            <v>2</v>
          </cell>
          <cell r="H104">
            <v>2.0000000000000002E-5</v>
          </cell>
          <cell r="I104">
            <v>3</v>
          </cell>
          <cell r="J104">
            <v>2.0000000000000002E-5</v>
          </cell>
          <cell r="K104" t="str">
            <v>7c</v>
          </cell>
          <cell r="L104">
            <v>2</v>
          </cell>
          <cell r="M104" t="str">
            <v>B2</v>
          </cell>
          <cell r="N104">
            <v>1</v>
          </cell>
          <cell r="O104">
            <v>1E-4</v>
          </cell>
          <cell r="P104">
            <v>1</v>
          </cell>
          <cell r="Q104">
            <v>1</v>
          </cell>
          <cell r="R104" t="str">
            <v>9e</v>
          </cell>
          <cell r="S104">
            <v>0.1</v>
          </cell>
          <cell r="T104" t="str">
            <v>9a</v>
          </cell>
          <cell r="U104">
            <v>1</v>
          </cell>
          <cell r="V104" t="str">
            <v>9e</v>
          </cell>
          <cell r="W104">
            <v>0.1</v>
          </cell>
          <cell r="X104" t="str">
            <v>9a</v>
          </cell>
          <cell r="Y104">
            <v>1</v>
          </cell>
          <cell r="Z104" t="str">
            <v>9e</v>
          </cell>
          <cell r="AA104">
            <v>0.1</v>
          </cell>
          <cell r="AB104" t="str">
            <v>9a</v>
          </cell>
          <cell r="AC104">
            <v>1</v>
          </cell>
          <cell r="AD104">
            <v>9</v>
          </cell>
          <cell r="AE104">
            <v>1</v>
          </cell>
          <cell r="AF104">
            <v>9</v>
          </cell>
          <cell r="AG104">
            <v>1</v>
          </cell>
          <cell r="AH104">
            <v>9</v>
          </cell>
          <cell r="AK104">
            <v>0.89</v>
          </cell>
          <cell r="AL104">
            <v>0.89</v>
          </cell>
          <cell r="AO104">
            <v>0</v>
          </cell>
          <cell r="AU104">
            <v>0</v>
          </cell>
          <cell r="AW104">
            <v>0</v>
          </cell>
          <cell r="AX104">
            <v>4.3549999999999998E-2</v>
          </cell>
          <cell r="AY104">
            <v>0.32500000000000001</v>
          </cell>
          <cell r="AZ104">
            <v>700</v>
          </cell>
          <cell r="BA104">
            <v>22</v>
          </cell>
          <cell r="BB104">
            <v>4.15E-4</v>
          </cell>
          <cell r="BC104">
            <v>22</v>
          </cell>
          <cell r="BD104">
            <v>1.6983139630054021E-2</v>
          </cell>
          <cell r="BE104">
            <v>328</v>
          </cell>
          <cell r="BF104">
            <v>13</v>
          </cell>
          <cell r="BG104">
            <v>7.7100000000000004E-5</v>
          </cell>
          <cell r="BH104">
            <v>7.1</v>
          </cell>
          <cell r="BI104">
            <v>19</v>
          </cell>
          <cell r="BJ104">
            <v>309000</v>
          </cell>
          <cell r="BK104" t="str">
            <v>17b</v>
          </cell>
          <cell r="BO104">
            <v>1.1199535223848884</v>
          </cell>
          <cell r="BP104">
            <v>0.83937499999999998</v>
          </cell>
          <cell r="BS104">
            <v>1000</v>
          </cell>
          <cell r="BT104" t="str">
            <v>Ceiling (High)</v>
          </cell>
          <cell r="BV104">
            <v>3000</v>
          </cell>
          <cell r="BW104" t="str">
            <v>Ceiling (High)</v>
          </cell>
          <cell r="BY104">
            <v>5000</v>
          </cell>
          <cell r="BZ104" t="str">
            <v>Ceiling (High)</v>
          </cell>
          <cell r="CA104">
            <v>50000</v>
          </cell>
          <cell r="CB104" t="str">
            <v>0.005%</v>
          </cell>
        </row>
        <row r="105">
          <cell r="A105" t="str">
            <v>PYRENE</v>
          </cell>
          <cell r="B105" t="str">
            <v>129-00-0</v>
          </cell>
          <cell r="C105">
            <v>42922</v>
          </cell>
          <cell r="D105">
            <v>0.03</v>
          </cell>
          <cell r="E105">
            <v>1</v>
          </cell>
          <cell r="F105">
            <v>0.3</v>
          </cell>
          <cell r="G105">
            <v>6</v>
          </cell>
          <cell r="H105">
            <v>0.05</v>
          </cell>
          <cell r="I105" t="str">
            <v>5d</v>
          </cell>
          <cell r="J105">
            <v>0.5</v>
          </cell>
          <cell r="K105" t="str">
            <v>5d</v>
          </cell>
          <cell r="M105" t="str">
            <v>D</v>
          </cell>
          <cell r="N105">
            <v>1</v>
          </cell>
          <cell r="Q105">
            <v>0.3</v>
          </cell>
          <cell r="R105" t="str">
            <v>9d</v>
          </cell>
          <cell r="S105">
            <v>0.1</v>
          </cell>
          <cell r="T105" t="str">
            <v>9d</v>
          </cell>
          <cell r="U105">
            <v>0.3</v>
          </cell>
          <cell r="V105" t="str">
            <v>9d</v>
          </cell>
          <cell r="W105">
            <v>0.1</v>
          </cell>
          <cell r="X105" t="str">
            <v>9d</v>
          </cell>
          <cell r="Y105" t="str">
            <v>NC</v>
          </cell>
          <cell r="AA105" t="str">
            <v>NC</v>
          </cell>
          <cell r="AC105">
            <v>1</v>
          </cell>
          <cell r="AD105">
            <v>9</v>
          </cell>
          <cell r="AE105">
            <v>1</v>
          </cell>
          <cell r="AF105">
            <v>9</v>
          </cell>
          <cell r="AI105">
            <v>20</v>
          </cell>
          <cell r="AK105">
            <v>0.92</v>
          </cell>
          <cell r="AL105" t="str">
            <v>NC</v>
          </cell>
          <cell r="AM105">
            <v>4</v>
          </cell>
          <cell r="AO105">
            <v>0</v>
          </cell>
          <cell r="AU105">
            <v>0</v>
          </cell>
          <cell r="AW105">
            <v>0</v>
          </cell>
          <cell r="AX105">
            <v>0.66</v>
          </cell>
          <cell r="AY105">
            <v>0.5</v>
          </cell>
          <cell r="AZ105">
            <v>135</v>
          </cell>
          <cell r="BA105">
            <v>22</v>
          </cell>
          <cell r="BB105">
            <v>1.19E-5</v>
          </cell>
          <cell r="BC105">
            <v>22</v>
          </cell>
          <cell r="BD105">
            <v>4.8698641348829597E-4</v>
          </cell>
          <cell r="BE105">
            <v>202</v>
          </cell>
          <cell r="BF105">
            <v>13</v>
          </cell>
          <cell r="BG105">
            <v>2.5000000000000002E-6</v>
          </cell>
          <cell r="BH105">
            <v>4.88</v>
          </cell>
          <cell r="BI105">
            <v>17</v>
          </cell>
          <cell r="BJ105">
            <v>68000</v>
          </cell>
          <cell r="BK105" t="str">
            <v>17a</v>
          </cell>
          <cell r="BL105">
            <v>151.19999999999999</v>
          </cell>
          <cell r="BM105">
            <v>17</v>
          </cell>
          <cell r="BO105">
            <v>0.1948049553290766</v>
          </cell>
          <cell r="BS105">
            <v>1000</v>
          </cell>
          <cell r="BT105" t="str">
            <v>Ceiling (High)</v>
          </cell>
          <cell r="BV105">
            <v>3000</v>
          </cell>
          <cell r="BW105" t="str">
            <v>Ceiling (High)</v>
          </cell>
          <cell r="BY105">
            <v>5000</v>
          </cell>
          <cell r="BZ105" t="str">
            <v>Ceiling (High)</v>
          </cell>
          <cell r="CA105">
            <v>50000</v>
          </cell>
          <cell r="CB105" t="str">
            <v>0.005%</v>
          </cell>
        </row>
        <row r="106">
          <cell r="A106" t="str">
            <v>RDX</v>
          </cell>
          <cell r="B106" t="str">
            <v>121-82-4</v>
          </cell>
          <cell r="C106">
            <v>42922</v>
          </cell>
          <cell r="D106">
            <v>3.0000000000000001E-3</v>
          </cell>
          <cell r="E106">
            <v>1</v>
          </cell>
          <cell r="F106">
            <v>3.0000000000000001E-3</v>
          </cell>
          <cell r="G106" t="str">
            <v>1d</v>
          </cell>
          <cell r="H106">
            <v>1.0999999999999999E-2</v>
          </cell>
          <cell r="I106" t="str">
            <v>7b</v>
          </cell>
          <cell r="J106">
            <v>1.0999999999999999E-2</v>
          </cell>
          <cell r="K106" t="str">
            <v>7c</v>
          </cell>
          <cell r="L106">
            <v>0.11</v>
          </cell>
          <cell r="M106" t="str">
            <v>C</v>
          </cell>
          <cell r="N106">
            <v>1</v>
          </cell>
          <cell r="O106">
            <v>3.1428571428571431E-5</v>
          </cell>
          <cell r="P106" t="str">
            <v>7a</v>
          </cell>
          <cell r="Q106">
            <v>1</v>
          </cell>
          <cell r="R106">
            <v>9</v>
          </cell>
          <cell r="S106">
            <v>0.02</v>
          </cell>
          <cell r="T106">
            <v>9</v>
          </cell>
          <cell r="U106">
            <v>1</v>
          </cell>
          <cell r="V106">
            <v>9</v>
          </cell>
          <cell r="W106">
            <v>0.02</v>
          </cell>
          <cell r="X106">
            <v>9</v>
          </cell>
          <cell r="Y106">
            <v>1</v>
          </cell>
          <cell r="Z106">
            <v>9</v>
          </cell>
          <cell r="AA106">
            <v>0.02</v>
          </cell>
          <cell r="AB106">
            <v>9</v>
          </cell>
          <cell r="AC106">
            <v>1</v>
          </cell>
          <cell r="AD106">
            <v>9</v>
          </cell>
          <cell r="AE106">
            <v>1</v>
          </cell>
          <cell r="AF106">
            <v>9</v>
          </cell>
          <cell r="AG106">
            <v>1</v>
          </cell>
          <cell r="AH106">
            <v>9</v>
          </cell>
          <cell r="AK106">
            <v>1</v>
          </cell>
          <cell r="AL106">
            <v>1</v>
          </cell>
          <cell r="AO106">
            <v>0</v>
          </cell>
          <cell r="AX106">
            <v>1</v>
          </cell>
          <cell r="AY106">
            <v>0.84</v>
          </cell>
          <cell r="AZ106">
            <v>59700</v>
          </cell>
          <cell r="BA106">
            <v>22</v>
          </cell>
          <cell r="BB106">
            <v>6.3199999999999997E-8</v>
          </cell>
          <cell r="BC106">
            <v>22</v>
          </cell>
          <cell r="BD106">
            <v>2.5863480111311181E-6</v>
          </cell>
          <cell r="BE106">
            <v>222.26</v>
          </cell>
          <cell r="BF106">
            <v>13</v>
          </cell>
          <cell r="BG106">
            <v>1.0000000000000001E-9</v>
          </cell>
          <cell r="BH106">
            <v>0.87</v>
          </cell>
          <cell r="BI106">
            <v>13</v>
          </cell>
          <cell r="BJ106">
            <v>63.095734448019364</v>
          </cell>
          <cell r="BK106">
            <v>13</v>
          </cell>
          <cell r="BL106">
            <v>205</v>
          </cell>
          <cell r="BM106">
            <v>13</v>
          </cell>
          <cell r="BO106">
            <v>3.384885636728822E-4</v>
          </cell>
          <cell r="BS106">
            <v>1000</v>
          </cell>
          <cell r="BT106" t="str">
            <v>Ceiling (High)</v>
          </cell>
          <cell r="BV106">
            <v>3000</v>
          </cell>
          <cell r="BW106" t="str">
            <v>Ceiling (High)</v>
          </cell>
          <cell r="BY106">
            <v>5000</v>
          </cell>
          <cell r="BZ106" t="str">
            <v>Ceiling (High)</v>
          </cell>
          <cell r="CA106">
            <v>50000</v>
          </cell>
          <cell r="CB106" t="str">
            <v>0.005%</v>
          </cell>
        </row>
        <row r="107">
          <cell r="A107" t="str">
            <v>SELENIUM</v>
          </cell>
          <cell r="B107" t="str">
            <v>7782-49-2</v>
          </cell>
          <cell r="C107">
            <v>42923</v>
          </cell>
          <cell r="D107">
            <v>5.0000000000000001E-3</v>
          </cell>
          <cell r="E107">
            <v>1</v>
          </cell>
          <cell r="F107">
            <v>5.0000000000000001E-3</v>
          </cell>
          <cell r="G107">
            <v>2</v>
          </cell>
          <cell r="H107">
            <v>3.0000000000000001E-3</v>
          </cell>
          <cell r="I107">
            <v>3</v>
          </cell>
          <cell r="J107">
            <v>3.0000000000000001E-3</v>
          </cell>
          <cell r="K107" t="str">
            <v>7c</v>
          </cell>
          <cell r="M107" t="str">
            <v>D</v>
          </cell>
          <cell r="N107">
            <v>1</v>
          </cell>
          <cell r="Q107">
            <v>1</v>
          </cell>
          <cell r="R107" t="str">
            <v>9e</v>
          </cell>
          <cell r="S107">
            <v>0.01</v>
          </cell>
          <cell r="T107" t="str">
            <v>9e</v>
          </cell>
          <cell r="U107">
            <v>1</v>
          </cell>
          <cell r="V107" t="str">
            <v>9e</v>
          </cell>
          <cell r="W107">
            <v>0.01</v>
          </cell>
          <cell r="X107" t="str">
            <v>9e</v>
          </cell>
          <cell r="Y107" t="str">
            <v>NC</v>
          </cell>
          <cell r="AA107" t="str">
            <v>NC</v>
          </cell>
          <cell r="AC107">
            <v>1</v>
          </cell>
          <cell r="AD107">
            <v>9</v>
          </cell>
          <cell r="AE107">
            <v>1</v>
          </cell>
          <cell r="AF107">
            <v>9</v>
          </cell>
          <cell r="AI107">
            <v>1</v>
          </cell>
          <cell r="AK107">
            <v>0.6</v>
          </cell>
          <cell r="AL107" t="str">
            <v>NC</v>
          </cell>
          <cell r="AM107">
            <v>0.5</v>
          </cell>
          <cell r="AO107">
            <v>0</v>
          </cell>
          <cell r="AU107">
            <v>0</v>
          </cell>
          <cell r="AW107">
            <v>0</v>
          </cell>
          <cell r="AX107">
            <v>15</v>
          </cell>
          <cell r="AY107">
            <v>50</v>
          </cell>
          <cell r="AZ107">
            <v>0</v>
          </cell>
          <cell r="BD107">
            <v>0</v>
          </cell>
          <cell r="BE107">
            <v>79</v>
          </cell>
          <cell r="BF107">
            <v>13</v>
          </cell>
          <cell r="BH107">
            <v>0.24</v>
          </cell>
          <cell r="BJ107">
            <v>0</v>
          </cell>
          <cell r="BO107">
            <v>1E-3</v>
          </cell>
          <cell r="BS107">
            <v>1000</v>
          </cell>
          <cell r="BT107" t="str">
            <v>Ceiling (High)</v>
          </cell>
          <cell r="BV107">
            <v>3000</v>
          </cell>
          <cell r="BW107" t="str">
            <v>Ceiling (High)</v>
          </cell>
          <cell r="BY107">
            <v>5000</v>
          </cell>
          <cell r="BZ107" t="str">
            <v>Ceiling (High)</v>
          </cell>
          <cell r="CA107">
            <v>50000</v>
          </cell>
          <cell r="CB107" t="str">
            <v>0.005%</v>
          </cell>
          <cell r="CC107" t="str">
            <v>Y</v>
          </cell>
        </row>
        <row r="108">
          <cell r="A108" t="str">
            <v>SILVER</v>
          </cell>
          <cell r="B108" t="str">
            <v>7440-22-4</v>
          </cell>
          <cell r="C108">
            <v>42923</v>
          </cell>
          <cell r="D108">
            <v>5.0000000000000001E-3</v>
          </cell>
          <cell r="E108">
            <v>1</v>
          </cell>
          <cell r="F108">
            <v>5.0000000000000001E-3</v>
          </cell>
          <cell r="G108">
            <v>2</v>
          </cell>
          <cell r="H108">
            <v>1.3999999999999999E-4</v>
          </cell>
          <cell r="I108" t="str">
            <v>5b</v>
          </cell>
          <cell r="J108">
            <v>1.3999999999999999E-4</v>
          </cell>
          <cell r="K108" t="str">
            <v>7c</v>
          </cell>
          <cell r="M108" t="str">
            <v>D</v>
          </cell>
          <cell r="N108">
            <v>1</v>
          </cell>
          <cell r="Q108">
            <v>1</v>
          </cell>
          <cell r="R108" t="str">
            <v>9e</v>
          </cell>
          <cell r="S108">
            <v>0.3</v>
          </cell>
          <cell r="T108" t="str">
            <v>9e</v>
          </cell>
          <cell r="U108">
            <v>1</v>
          </cell>
          <cell r="V108" t="str">
            <v>9e</v>
          </cell>
          <cell r="W108">
            <v>0.3</v>
          </cell>
          <cell r="X108" t="str">
            <v>9e</v>
          </cell>
          <cell r="Y108" t="str">
            <v>NC</v>
          </cell>
          <cell r="AA108" t="str">
            <v>NC</v>
          </cell>
          <cell r="AC108">
            <v>1</v>
          </cell>
          <cell r="AD108">
            <v>9</v>
          </cell>
          <cell r="AE108">
            <v>1</v>
          </cell>
          <cell r="AF108">
            <v>9</v>
          </cell>
          <cell r="AI108">
            <v>5</v>
          </cell>
          <cell r="AK108">
            <v>0.04</v>
          </cell>
          <cell r="AL108" t="str">
            <v>NC</v>
          </cell>
          <cell r="AM108">
            <v>0.6</v>
          </cell>
          <cell r="AN108">
            <v>4.7</v>
          </cell>
          <cell r="AO108">
            <v>0</v>
          </cell>
          <cell r="AU108">
            <v>0</v>
          </cell>
          <cell r="AW108">
            <v>0</v>
          </cell>
          <cell r="AX108">
            <v>1.4</v>
          </cell>
          <cell r="AY108">
            <v>7</v>
          </cell>
          <cell r="AZ108">
            <v>0</v>
          </cell>
          <cell r="BD108">
            <v>0</v>
          </cell>
          <cell r="BE108">
            <v>108</v>
          </cell>
          <cell r="BF108">
            <v>13</v>
          </cell>
          <cell r="BH108">
            <v>0.23</v>
          </cell>
          <cell r="BJ108">
            <v>0</v>
          </cell>
          <cell r="BO108">
            <v>5.9999999999999995E-4</v>
          </cell>
          <cell r="BS108">
            <v>1000</v>
          </cell>
          <cell r="BT108" t="str">
            <v>Ceiling (High)</v>
          </cell>
          <cell r="BV108">
            <v>3000</v>
          </cell>
          <cell r="BW108" t="str">
            <v>Ceiling (High)</v>
          </cell>
          <cell r="BY108">
            <v>5000</v>
          </cell>
          <cell r="BZ108" t="str">
            <v>Ceiling (High)</v>
          </cell>
          <cell r="CA108">
            <v>50000</v>
          </cell>
          <cell r="CB108" t="str">
            <v>0.005%</v>
          </cell>
          <cell r="CC108" t="str">
            <v>Y</v>
          </cell>
        </row>
        <row r="109">
          <cell r="A109" t="str">
            <v>STYRENE</v>
          </cell>
          <cell r="B109" t="str">
            <v>100-42-5</v>
          </cell>
          <cell r="C109">
            <v>42923</v>
          </cell>
          <cell r="D109">
            <v>0.2</v>
          </cell>
          <cell r="E109">
            <v>1</v>
          </cell>
          <cell r="F109">
            <v>2</v>
          </cell>
          <cell r="G109" t="str">
            <v>2d</v>
          </cell>
          <cell r="H109">
            <v>1</v>
          </cell>
          <cell r="I109">
            <v>1</v>
          </cell>
          <cell r="J109">
            <v>3</v>
          </cell>
          <cell r="K109" t="str">
            <v>1k</v>
          </cell>
          <cell r="L109">
            <v>0.03</v>
          </cell>
          <cell r="M109" t="str">
            <v>B2</v>
          </cell>
          <cell r="N109" t="str">
            <v>2d</v>
          </cell>
          <cell r="O109">
            <v>5.7000000000000005E-7</v>
          </cell>
          <cell r="P109" t="str">
            <v>2d</v>
          </cell>
          <cell r="Q109">
            <v>1</v>
          </cell>
          <cell r="R109" t="str">
            <v>9e</v>
          </cell>
          <cell r="S109">
            <v>0.03</v>
          </cell>
          <cell r="T109" t="str">
            <v>9e</v>
          </cell>
          <cell r="U109">
            <v>1</v>
          </cell>
          <cell r="V109" t="str">
            <v>9e</v>
          </cell>
          <cell r="W109">
            <v>0.03</v>
          </cell>
          <cell r="X109" t="str">
            <v>9e</v>
          </cell>
          <cell r="Y109">
            <v>1</v>
          </cell>
          <cell r="Z109" t="str">
            <v>9e</v>
          </cell>
          <cell r="AA109">
            <v>0.03</v>
          </cell>
          <cell r="AB109" t="str">
            <v>9e</v>
          </cell>
          <cell r="AC109">
            <v>1</v>
          </cell>
          <cell r="AD109">
            <v>9</v>
          </cell>
          <cell r="AE109">
            <v>1</v>
          </cell>
          <cell r="AF109">
            <v>9</v>
          </cell>
          <cell r="AG109">
            <v>1</v>
          </cell>
          <cell r="AH109">
            <v>9</v>
          </cell>
          <cell r="AK109">
            <v>1</v>
          </cell>
          <cell r="AL109">
            <v>1</v>
          </cell>
          <cell r="AO109">
            <v>1.4</v>
          </cell>
          <cell r="AP109">
            <v>5</v>
          </cell>
          <cell r="AQ109">
            <v>0.65700000000000003</v>
          </cell>
          <cell r="AR109">
            <v>11</v>
          </cell>
          <cell r="AS109">
            <v>13</v>
          </cell>
          <cell r="AT109">
            <v>1360</v>
          </cell>
          <cell r="AU109">
            <v>0.31974753451676524</v>
          </cell>
          <cell r="AV109">
            <v>13</v>
          </cell>
          <cell r="AW109">
            <v>15.637337149624953</v>
          </cell>
          <cell r="AX109">
            <v>0.1</v>
          </cell>
          <cell r="AY109">
            <v>0.3</v>
          </cell>
          <cell r="AZ109">
            <v>310000</v>
          </cell>
          <cell r="BA109">
            <v>22</v>
          </cell>
          <cell r="BB109">
            <v>2.7499999999999998E-3</v>
          </cell>
          <cell r="BC109">
            <v>22</v>
          </cell>
          <cell r="BD109">
            <v>0.11253887706662301</v>
          </cell>
          <cell r="BE109">
            <v>104</v>
          </cell>
          <cell r="BF109">
            <v>13</v>
          </cell>
          <cell r="BG109">
            <v>5</v>
          </cell>
          <cell r="BH109">
            <v>2.95</v>
          </cell>
          <cell r="BI109">
            <v>16</v>
          </cell>
          <cell r="BJ109">
            <v>912</v>
          </cell>
          <cell r="BK109" t="str">
            <v>17a</v>
          </cell>
          <cell r="BL109">
            <v>-31</v>
          </cell>
          <cell r="BM109">
            <v>17</v>
          </cell>
          <cell r="BO109">
            <v>3.6694417673371636E-2</v>
          </cell>
          <cell r="BS109">
            <v>500</v>
          </cell>
          <cell r="BT109" t="str">
            <v>Ceiling (Medium)</v>
          </cell>
          <cell r="BV109">
            <v>1000</v>
          </cell>
          <cell r="BW109" t="str">
            <v>Ceiling (Medium)</v>
          </cell>
          <cell r="BY109">
            <v>3000</v>
          </cell>
          <cell r="BZ109" t="str">
            <v>Ceiling (Medium)</v>
          </cell>
          <cell r="CA109">
            <v>50000</v>
          </cell>
          <cell r="CB109" t="str">
            <v>0.005%</v>
          </cell>
        </row>
        <row r="110">
          <cell r="A110" t="str">
            <v>TCDD, 2,3,7,8-  (equivalents)</v>
          </cell>
          <cell r="B110" t="str">
            <v>1746-01-6</v>
          </cell>
          <cell r="C110">
            <v>42923</v>
          </cell>
          <cell r="D110">
            <v>6.9999999999999996E-10</v>
          </cell>
          <cell r="E110">
            <v>1</v>
          </cell>
          <cell r="F110">
            <v>6.9999999999999996E-10</v>
          </cell>
          <cell r="G110" t="str">
            <v>1d</v>
          </cell>
          <cell r="H110">
            <v>2.0000000000000001E-10</v>
          </cell>
          <cell r="I110" t="str">
            <v>7b</v>
          </cell>
          <cell r="J110">
            <v>2.0000000000000001E-10</v>
          </cell>
          <cell r="K110" t="str">
            <v>7c</v>
          </cell>
          <cell r="L110">
            <v>150000</v>
          </cell>
          <cell r="M110" t="str">
            <v>B2</v>
          </cell>
          <cell r="N110">
            <v>2</v>
          </cell>
          <cell r="O110">
            <v>33</v>
          </cell>
          <cell r="P110">
            <v>2</v>
          </cell>
          <cell r="Q110">
            <v>1</v>
          </cell>
          <cell r="R110" t="str">
            <v>9e</v>
          </cell>
          <cell r="S110">
            <v>0.1</v>
          </cell>
          <cell r="T110" t="str">
            <v>9a</v>
          </cell>
          <cell r="U110">
            <v>1</v>
          </cell>
          <cell r="V110" t="str">
            <v>9e</v>
          </cell>
          <cell r="W110">
            <v>0.1</v>
          </cell>
          <cell r="X110" t="str">
            <v>9a</v>
          </cell>
          <cell r="Y110">
            <v>1</v>
          </cell>
          <cell r="Z110" t="str">
            <v>9e</v>
          </cell>
          <cell r="AA110">
            <v>0.1</v>
          </cell>
          <cell r="AB110" t="str">
            <v>9a</v>
          </cell>
          <cell r="AC110">
            <v>1</v>
          </cell>
          <cell r="AD110">
            <v>9</v>
          </cell>
          <cell r="AE110">
            <v>1</v>
          </cell>
          <cell r="AF110">
            <v>9</v>
          </cell>
          <cell r="AG110">
            <v>1</v>
          </cell>
          <cell r="AH110">
            <v>9</v>
          </cell>
          <cell r="AI110">
            <v>2.1999999999999999E-5</v>
          </cell>
          <cell r="AK110">
            <v>1</v>
          </cell>
          <cell r="AL110">
            <v>1</v>
          </cell>
          <cell r="AM110">
            <v>2.1999999999999999E-5</v>
          </cell>
          <cell r="AO110">
            <v>0</v>
          </cell>
          <cell r="AU110">
            <v>0</v>
          </cell>
          <cell r="AW110">
            <v>0</v>
          </cell>
          <cell r="AX110">
            <v>9.9999999999999995E-7</v>
          </cell>
          <cell r="AY110">
            <v>1.0000000000000001E-5</v>
          </cell>
          <cell r="AZ110">
            <v>0.2</v>
          </cell>
          <cell r="BA110">
            <v>22</v>
          </cell>
          <cell r="BB110">
            <v>5.0000000000000002E-5</v>
          </cell>
          <cell r="BC110">
            <v>22</v>
          </cell>
          <cell r="BD110">
            <v>2.0461614012113275E-3</v>
          </cell>
          <cell r="BE110">
            <v>322</v>
          </cell>
          <cell r="BF110">
            <v>11</v>
          </cell>
          <cell r="BG110">
            <v>7.4000000000000003E-10</v>
          </cell>
          <cell r="BH110">
            <v>6.8</v>
          </cell>
          <cell r="BI110">
            <v>16</v>
          </cell>
          <cell r="BJ110">
            <v>3300000</v>
          </cell>
          <cell r="BK110">
            <v>11</v>
          </cell>
          <cell r="BO110">
            <v>0.76700818769351109</v>
          </cell>
          <cell r="BS110">
            <v>1000</v>
          </cell>
          <cell r="BT110" t="str">
            <v>Ceiling (High)</v>
          </cell>
          <cell r="BV110">
            <v>3000</v>
          </cell>
          <cell r="BW110" t="str">
            <v>Ceiling (High)</v>
          </cell>
          <cell r="BY110">
            <v>5000</v>
          </cell>
          <cell r="BZ110" t="str">
            <v>Ceiling (High)</v>
          </cell>
          <cell r="CA110">
            <v>50000</v>
          </cell>
          <cell r="CB110" t="str">
            <v>0.005%</v>
          </cell>
        </row>
        <row r="111">
          <cell r="A111" t="str">
            <v>TETRACHLOROETHANE, 1,1,1,2-</v>
          </cell>
          <cell r="B111" t="str">
            <v>630-20-6</v>
          </cell>
          <cell r="C111">
            <v>42922</v>
          </cell>
          <cell r="D111">
            <v>0.03</v>
          </cell>
          <cell r="E111">
            <v>1</v>
          </cell>
          <cell r="F111">
            <v>0.09</v>
          </cell>
          <cell r="G111">
            <v>6</v>
          </cell>
          <cell r="H111">
            <v>0.11</v>
          </cell>
          <cell r="I111" t="str">
            <v>7b</v>
          </cell>
          <cell r="J111">
            <v>0.3</v>
          </cell>
          <cell r="K111" t="str">
            <v>7b</v>
          </cell>
          <cell r="L111">
            <v>2.5999999999999999E-2</v>
          </cell>
          <cell r="M111" t="str">
            <v>C</v>
          </cell>
          <cell r="N111">
            <v>1</v>
          </cell>
          <cell r="O111">
            <v>7.4000000000000003E-6</v>
          </cell>
          <cell r="P111">
            <v>1</v>
          </cell>
          <cell r="Q111">
            <v>1</v>
          </cell>
          <cell r="R111" t="str">
            <v>9e</v>
          </cell>
          <cell r="S111">
            <v>0.03</v>
          </cell>
          <cell r="T111" t="str">
            <v>9e</v>
          </cell>
          <cell r="U111">
            <v>1</v>
          </cell>
          <cell r="V111" t="str">
            <v>9e</v>
          </cell>
          <cell r="W111">
            <v>0.03</v>
          </cell>
          <cell r="X111" t="str">
            <v>9e</v>
          </cell>
          <cell r="Y111">
            <v>1</v>
          </cell>
          <cell r="Z111" t="str">
            <v>9e</v>
          </cell>
          <cell r="AA111">
            <v>0.03</v>
          </cell>
          <cell r="AB111" t="str">
            <v>9e</v>
          </cell>
          <cell r="AC111">
            <v>1</v>
          </cell>
          <cell r="AD111">
            <v>9</v>
          </cell>
          <cell r="AE111">
            <v>1</v>
          </cell>
          <cell r="AF111">
            <v>9</v>
          </cell>
          <cell r="AG111">
            <v>1</v>
          </cell>
          <cell r="AH111">
            <v>9</v>
          </cell>
          <cell r="AK111">
            <v>0.7</v>
          </cell>
          <cell r="AL111">
            <v>0.7</v>
          </cell>
          <cell r="AO111">
            <v>0</v>
          </cell>
          <cell r="AU111">
            <v>0</v>
          </cell>
          <cell r="AW111">
            <v>0</v>
          </cell>
          <cell r="AX111">
            <v>0.1</v>
          </cell>
          <cell r="AY111">
            <v>5</v>
          </cell>
          <cell r="AZ111">
            <v>1070000</v>
          </cell>
          <cell r="BA111">
            <v>22</v>
          </cell>
          <cell r="BB111">
            <v>2.4499999999999999E-3</v>
          </cell>
          <cell r="BC111">
            <v>22</v>
          </cell>
          <cell r="BD111">
            <v>0.10026190865935505</v>
          </cell>
          <cell r="BE111">
            <v>168</v>
          </cell>
          <cell r="BF111">
            <v>11</v>
          </cell>
          <cell r="BG111">
            <v>10</v>
          </cell>
          <cell r="BH111">
            <v>2.93</v>
          </cell>
          <cell r="BI111">
            <v>20</v>
          </cell>
          <cell r="BJ111">
            <v>54</v>
          </cell>
          <cell r="BK111">
            <v>11</v>
          </cell>
          <cell r="BO111">
            <v>1.5595525028269547E-2</v>
          </cell>
          <cell r="BS111">
            <v>100</v>
          </cell>
          <cell r="BT111" t="str">
            <v>Ceiling (Low)</v>
          </cell>
          <cell r="BV111">
            <v>500</v>
          </cell>
          <cell r="BW111" t="str">
            <v>Ceiling (Low)</v>
          </cell>
          <cell r="BY111">
            <v>500</v>
          </cell>
          <cell r="BZ111" t="str">
            <v>High Volatility</v>
          </cell>
          <cell r="CA111">
            <v>50000</v>
          </cell>
          <cell r="CB111" t="str">
            <v>0.005%</v>
          </cell>
        </row>
        <row r="112">
          <cell r="A112" t="str">
            <v>TETRACHLOROETHANE, 1,1,2,2-</v>
          </cell>
          <cell r="B112" t="str">
            <v>79-34-5</v>
          </cell>
          <cell r="C112">
            <v>42922</v>
          </cell>
          <cell r="D112">
            <v>0.02</v>
          </cell>
          <cell r="E112">
            <v>1</v>
          </cell>
          <cell r="F112">
            <v>0.05</v>
          </cell>
          <cell r="G112">
            <v>1</v>
          </cell>
          <cell r="H112">
            <v>9.2999999999999999E-2</v>
          </cell>
          <cell r="I112">
            <v>3</v>
          </cell>
          <cell r="J112">
            <v>9.2999999999999999E-2</v>
          </cell>
          <cell r="K112" t="str">
            <v>7c</v>
          </cell>
          <cell r="L112">
            <v>0.2</v>
          </cell>
          <cell r="M112" t="str">
            <v>C</v>
          </cell>
          <cell r="N112">
            <v>1</v>
          </cell>
          <cell r="O112">
            <v>5.8E-5</v>
          </cell>
          <cell r="P112" t="str">
            <v>1f</v>
          </cell>
          <cell r="Q112">
            <v>1</v>
          </cell>
          <cell r="R112" t="str">
            <v>9e</v>
          </cell>
          <cell r="S112">
            <v>0.03</v>
          </cell>
          <cell r="T112" t="str">
            <v>9e</v>
          </cell>
          <cell r="U112">
            <v>1</v>
          </cell>
          <cell r="V112" t="str">
            <v>9e</v>
          </cell>
          <cell r="W112">
            <v>0.03</v>
          </cell>
          <cell r="X112" t="str">
            <v>9e</v>
          </cell>
          <cell r="Y112">
            <v>1</v>
          </cell>
          <cell r="Z112" t="str">
            <v>9e</v>
          </cell>
          <cell r="AA112">
            <v>0.03</v>
          </cell>
          <cell r="AB112" t="str">
            <v>9e</v>
          </cell>
          <cell r="AC112">
            <v>1</v>
          </cell>
          <cell r="AD112">
            <v>9</v>
          </cell>
          <cell r="AE112">
            <v>1</v>
          </cell>
          <cell r="AF112">
            <v>9</v>
          </cell>
          <cell r="AG112">
            <v>1</v>
          </cell>
          <cell r="AH112">
            <v>9</v>
          </cell>
          <cell r="AL112">
            <v>0.7</v>
          </cell>
          <cell r="AO112">
            <v>0</v>
          </cell>
          <cell r="AR112">
            <v>500</v>
          </cell>
          <cell r="AS112">
            <v>13</v>
          </cell>
          <cell r="AT112">
            <v>10470</v>
          </cell>
          <cell r="AU112">
            <v>1.5238388278388275</v>
          </cell>
          <cell r="AV112">
            <v>13</v>
          </cell>
          <cell r="AW112">
            <v>2.6249495202015352</v>
          </cell>
          <cell r="AX112">
            <v>5.0000000000000001E-3</v>
          </cell>
          <cell r="AY112">
            <v>2</v>
          </cell>
          <cell r="AZ112">
            <v>2830000</v>
          </cell>
          <cell r="BA112">
            <v>22</v>
          </cell>
          <cell r="BB112">
            <v>3.6699999999999998E-4</v>
          </cell>
          <cell r="BC112">
            <v>22</v>
          </cell>
          <cell r="BD112">
            <v>1.5018824684891144E-2</v>
          </cell>
          <cell r="BE112">
            <v>168</v>
          </cell>
          <cell r="BF112">
            <v>13</v>
          </cell>
          <cell r="BG112">
            <v>4</v>
          </cell>
          <cell r="BH112">
            <v>2.39</v>
          </cell>
          <cell r="BI112">
            <v>16</v>
          </cell>
          <cell r="BJ112">
            <v>79</v>
          </cell>
          <cell r="BK112" t="str">
            <v>17a</v>
          </cell>
          <cell r="BL112">
            <v>-43.8</v>
          </cell>
          <cell r="BM112">
            <v>17</v>
          </cell>
          <cell r="BO112">
            <v>6.8643591792699517E-3</v>
          </cell>
          <cell r="BS112">
            <v>500</v>
          </cell>
          <cell r="BT112" t="str">
            <v>Ceiling (Medium)</v>
          </cell>
          <cell r="BV112">
            <v>1000</v>
          </cell>
          <cell r="BW112" t="str">
            <v>Ceiling (Medium)</v>
          </cell>
          <cell r="BY112">
            <v>3000</v>
          </cell>
          <cell r="BZ112" t="str">
            <v>Ceiling (Medium)</v>
          </cell>
          <cell r="CA112">
            <v>50000</v>
          </cell>
          <cell r="CB112" t="str">
            <v>0.005%</v>
          </cell>
        </row>
        <row r="113">
          <cell r="A113" t="str">
            <v>TETRACHLOROETHYLENE</v>
          </cell>
          <cell r="B113" t="str">
            <v>127-18-4</v>
          </cell>
          <cell r="C113">
            <v>42922</v>
          </cell>
          <cell r="D113">
            <v>6.0000000000000001E-3</v>
          </cell>
          <cell r="E113">
            <v>1</v>
          </cell>
          <cell r="F113">
            <v>6.0000000000000001E-3</v>
          </cell>
          <cell r="G113" t="str">
            <v>1d</v>
          </cell>
          <cell r="H113">
            <v>0.04</v>
          </cell>
          <cell r="I113">
            <v>1</v>
          </cell>
          <cell r="J113">
            <v>0.04</v>
          </cell>
          <cell r="K113" t="str">
            <v>7c</v>
          </cell>
          <cell r="L113">
            <v>0.02</v>
          </cell>
          <cell r="N113" t="str">
            <v>5h</v>
          </cell>
          <cell r="O113">
            <v>3.0000000000000001E-6</v>
          </cell>
          <cell r="P113" t="str">
            <v>5h</v>
          </cell>
          <cell r="Q113">
            <v>1</v>
          </cell>
          <cell r="R113" t="str">
            <v>9e</v>
          </cell>
          <cell r="S113">
            <v>0.03</v>
          </cell>
          <cell r="T113" t="str">
            <v>9e</v>
          </cell>
          <cell r="U113">
            <v>1</v>
          </cell>
          <cell r="V113" t="str">
            <v>9e</v>
          </cell>
          <cell r="W113">
            <v>0.03</v>
          </cell>
          <cell r="X113" t="str">
            <v>9e</v>
          </cell>
          <cell r="Y113">
            <v>1</v>
          </cell>
          <cell r="Z113" t="str">
            <v>9e</v>
          </cell>
          <cell r="AA113">
            <v>0.03</v>
          </cell>
          <cell r="AB113" t="str">
            <v>9e</v>
          </cell>
          <cell r="AC113">
            <v>1</v>
          </cell>
          <cell r="AD113">
            <v>9</v>
          </cell>
          <cell r="AE113">
            <v>1</v>
          </cell>
          <cell r="AF113">
            <v>9</v>
          </cell>
          <cell r="AG113">
            <v>1</v>
          </cell>
          <cell r="AH113">
            <v>9</v>
          </cell>
          <cell r="AK113">
            <v>1</v>
          </cell>
          <cell r="AL113">
            <v>1</v>
          </cell>
          <cell r="AO113">
            <v>4.0999999999999996</v>
          </cell>
          <cell r="AP113">
            <v>20</v>
          </cell>
          <cell r="AQ113">
            <v>1.6220000000000001</v>
          </cell>
          <cell r="AR113">
            <v>300</v>
          </cell>
          <cell r="AS113">
            <v>13</v>
          </cell>
          <cell r="AT113">
            <v>31730</v>
          </cell>
          <cell r="AU113">
            <v>4.6737299969107191</v>
          </cell>
          <cell r="AV113">
            <v>13</v>
          </cell>
          <cell r="AW113">
            <v>4.0652754892898768</v>
          </cell>
          <cell r="AX113">
            <v>0.1</v>
          </cell>
          <cell r="AY113">
            <v>1.5</v>
          </cell>
          <cell r="AZ113">
            <v>206000</v>
          </cell>
          <cell r="BA113">
            <v>22</v>
          </cell>
          <cell r="BB113">
            <v>1.77E-2</v>
          </cell>
          <cell r="BC113">
            <v>22</v>
          </cell>
          <cell r="BD113">
            <v>0.72434113602881001</v>
          </cell>
          <cell r="BE113">
            <v>166</v>
          </cell>
          <cell r="BF113">
            <v>13</v>
          </cell>
          <cell r="BG113">
            <v>19</v>
          </cell>
          <cell r="BH113">
            <v>3.4</v>
          </cell>
          <cell r="BI113">
            <v>16</v>
          </cell>
          <cell r="BJ113">
            <v>265</v>
          </cell>
          <cell r="BK113" t="str">
            <v>17a</v>
          </cell>
          <cell r="BL113">
            <v>-22.3</v>
          </cell>
          <cell r="BM113">
            <v>17</v>
          </cell>
          <cell r="BO113">
            <v>3.2688876924727196E-2</v>
          </cell>
          <cell r="BS113">
            <v>500</v>
          </cell>
          <cell r="BT113" t="str">
            <v>Ceiling (Medium)</v>
          </cell>
          <cell r="BV113">
            <v>1000</v>
          </cell>
          <cell r="BW113" t="str">
            <v>Ceiling (Medium)</v>
          </cell>
          <cell r="BY113">
            <v>3000</v>
          </cell>
          <cell r="BZ113" t="str">
            <v>Ceiling (Medium)</v>
          </cell>
          <cell r="CA113">
            <v>50000</v>
          </cell>
          <cell r="CB113" t="str">
            <v>0.005%</v>
          </cell>
        </row>
        <row r="114">
          <cell r="A114" t="str">
            <v>THALLIUM</v>
          </cell>
          <cell r="B114" t="str">
            <v>7440-28-0</v>
          </cell>
          <cell r="C114">
            <v>42922</v>
          </cell>
          <cell r="D114">
            <v>8.0000000000000007E-5</v>
          </cell>
          <cell r="E114" t="str">
            <v>1f</v>
          </cell>
          <cell r="F114">
            <v>8.0000000000000004E-4</v>
          </cell>
          <cell r="G114" t="str">
            <v>1f</v>
          </cell>
          <cell r="H114">
            <v>1.4E-5</v>
          </cell>
          <cell r="I114" t="str">
            <v>5b</v>
          </cell>
          <cell r="J114">
            <v>1.4E-5</v>
          </cell>
          <cell r="K114" t="str">
            <v>7c</v>
          </cell>
          <cell r="Q114">
            <v>1</v>
          </cell>
          <cell r="R114" t="str">
            <v>9e</v>
          </cell>
          <cell r="S114">
            <v>0.01</v>
          </cell>
          <cell r="T114" t="str">
            <v>9e</v>
          </cell>
          <cell r="U114">
            <v>1</v>
          </cell>
          <cell r="V114" t="str">
            <v>9e</v>
          </cell>
          <cell r="W114">
            <v>0.01</v>
          </cell>
          <cell r="X114" t="str">
            <v>9e</v>
          </cell>
          <cell r="Y114" t="str">
            <v>NC</v>
          </cell>
          <cell r="AA114" t="str">
            <v>NC</v>
          </cell>
          <cell r="AC114">
            <v>1</v>
          </cell>
          <cell r="AD114">
            <v>9</v>
          </cell>
          <cell r="AE114">
            <v>1</v>
          </cell>
          <cell r="AF114">
            <v>9</v>
          </cell>
          <cell r="AI114">
            <v>5</v>
          </cell>
          <cell r="AK114">
            <v>1</v>
          </cell>
          <cell r="AL114" t="str">
            <v>NC</v>
          </cell>
          <cell r="AM114">
            <v>0.6</v>
          </cell>
          <cell r="AO114">
            <v>0</v>
          </cell>
          <cell r="AU114">
            <v>0</v>
          </cell>
          <cell r="AW114">
            <v>0</v>
          </cell>
          <cell r="AX114">
            <v>8</v>
          </cell>
          <cell r="AY114">
            <v>40</v>
          </cell>
          <cell r="AZ114">
            <v>0</v>
          </cell>
          <cell r="BD114">
            <v>0</v>
          </cell>
          <cell r="BE114">
            <v>204</v>
          </cell>
          <cell r="BF114">
            <v>13</v>
          </cell>
          <cell r="BH114">
            <v>0.23</v>
          </cell>
          <cell r="BJ114">
            <v>0</v>
          </cell>
          <cell r="BO114">
            <v>1E-3</v>
          </cell>
          <cell r="BS114">
            <v>1000</v>
          </cell>
          <cell r="BT114" t="str">
            <v>Ceiling (High)</v>
          </cell>
          <cell r="BV114">
            <v>3000</v>
          </cell>
          <cell r="BW114" t="str">
            <v>Ceiling (High)</v>
          </cell>
          <cell r="BY114">
            <v>5000</v>
          </cell>
          <cell r="BZ114" t="str">
            <v>Ceiling (High)</v>
          </cell>
          <cell r="CA114">
            <v>50000</v>
          </cell>
          <cell r="CB114" t="str">
            <v>0.005%</v>
          </cell>
          <cell r="CC114" t="str">
            <v>Y</v>
          </cell>
        </row>
        <row r="115">
          <cell r="A115" t="str">
            <v>TOLUENE</v>
          </cell>
          <cell r="B115" t="str">
            <v>108-88-3</v>
          </cell>
          <cell r="C115">
            <v>42922</v>
          </cell>
          <cell r="D115">
            <v>0.08</v>
          </cell>
          <cell r="E115">
            <v>1</v>
          </cell>
          <cell r="F115">
            <v>0.8</v>
          </cell>
          <cell r="G115">
            <v>6</v>
          </cell>
          <cell r="H115">
            <v>5</v>
          </cell>
          <cell r="I115">
            <v>1</v>
          </cell>
          <cell r="J115">
            <v>5</v>
          </cell>
          <cell r="K115">
            <v>6</v>
          </cell>
          <cell r="M115" t="str">
            <v>D</v>
          </cell>
          <cell r="N115">
            <v>1</v>
          </cell>
          <cell r="Q115">
            <v>1</v>
          </cell>
          <cell r="R115" t="str">
            <v>9e</v>
          </cell>
          <cell r="S115">
            <v>0.03</v>
          </cell>
          <cell r="T115" t="str">
            <v>9e</v>
          </cell>
          <cell r="U115">
            <v>1</v>
          </cell>
          <cell r="V115" t="str">
            <v>9e</v>
          </cell>
          <cell r="W115">
            <v>0.03</v>
          </cell>
          <cell r="X115" t="str">
            <v>9e</v>
          </cell>
          <cell r="Y115" t="str">
            <v>NC</v>
          </cell>
          <cell r="AA115" t="str">
            <v>NC</v>
          </cell>
          <cell r="AC115">
            <v>1</v>
          </cell>
          <cell r="AD115">
            <v>9</v>
          </cell>
          <cell r="AE115">
            <v>1</v>
          </cell>
          <cell r="AF115">
            <v>9</v>
          </cell>
          <cell r="AK115">
            <v>1</v>
          </cell>
          <cell r="AL115" t="str">
            <v>NC</v>
          </cell>
          <cell r="AO115">
            <v>54</v>
          </cell>
          <cell r="AP115">
            <v>150</v>
          </cell>
          <cell r="AQ115">
            <v>7.6150000000000002</v>
          </cell>
          <cell r="AR115">
            <v>40</v>
          </cell>
          <cell r="AS115">
            <v>13</v>
          </cell>
          <cell r="AT115">
            <v>30000</v>
          </cell>
          <cell r="AU115">
            <v>7.9732441471571907</v>
          </cell>
          <cell r="AV115">
            <v>13</v>
          </cell>
          <cell r="AW115">
            <v>3.511744966442953</v>
          </cell>
          <cell r="AX115">
            <v>0.1</v>
          </cell>
          <cell r="AY115">
            <v>0.5</v>
          </cell>
          <cell r="AZ115">
            <v>526000</v>
          </cell>
          <cell r="BA115">
            <v>22</v>
          </cell>
          <cell r="BB115">
            <v>6.6400000000000001E-3</v>
          </cell>
          <cell r="BC115">
            <v>22</v>
          </cell>
          <cell r="BD115">
            <v>0.27173023408086433</v>
          </cell>
          <cell r="BE115">
            <v>92</v>
          </cell>
          <cell r="BF115">
            <v>13</v>
          </cell>
          <cell r="BG115">
            <v>28</v>
          </cell>
          <cell r="BH115">
            <v>2.73</v>
          </cell>
          <cell r="BI115">
            <v>16</v>
          </cell>
          <cell r="BJ115">
            <v>140</v>
          </cell>
          <cell r="BK115" t="str">
            <v>17a</v>
          </cell>
          <cell r="BL115">
            <v>-94.9</v>
          </cell>
          <cell r="BM115">
            <v>17</v>
          </cell>
          <cell r="BO115">
            <v>3.0661966160107378E-2</v>
          </cell>
          <cell r="BS115">
            <v>500</v>
          </cell>
          <cell r="BT115" t="str">
            <v>Ceiling (Medium)</v>
          </cell>
          <cell r="BV115">
            <v>1000</v>
          </cell>
          <cell r="BW115" t="str">
            <v>Ceiling (Medium)</v>
          </cell>
          <cell r="BY115">
            <v>3000</v>
          </cell>
          <cell r="BZ115" t="str">
            <v>Ceiling (Medium)</v>
          </cell>
          <cell r="CA115">
            <v>50000</v>
          </cell>
          <cell r="CB115" t="str">
            <v>0.005%</v>
          </cell>
        </row>
        <row r="116">
          <cell r="A116" t="str">
            <v>TRICHLOROBENZENE, 1,2,4-</v>
          </cell>
          <cell r="B116" t="str">
            <v>120-82-1</v>
          </cell>
          <cell r="C116">
            <v>42922</v>
          </cell>
          <cell r="D116">
            <v>0.01</v>
          </cell>
          <cell r="E116">
            <v>1</v>
          </cell>
          <cell r="F116">
            <v>0.09</v>
          </cell>
          <cell r="G116">
            <v>6</v>
          </cell>
          <cell r="H116">
            <v>2E-3</v>
          </cell>
          <cell r="I116">
            <v>6</v>
          </cell>
          <cell r="J116">
            <v>0.02</v>
          </cell>
          <cell r="K116">
            <v>6</v>
          </cell>
          <cell r="M116" t="str">
            <v>D</v>
          </cell>
          <cell r="N116">
            <v>1</v>
          </cell>
          <cell r="Q116">
            <v>1</v>
          </cell>
          <cell r="R116" t="str">
            <v>9e</v>
          </cell>
          <cell r="S116">
            <v>0.03</v>
          </cell>
          <cell r="T116" t="str">
            <v>9e</v>
          </cell>
          <cell r="U116">
            <v>1</v>
          </cell>
          <cell r="V116" t="str">
            <v>9e</v>
          </cell>
          <cell r="W116">
            <v>0.03</v>
          </cell>
          <cell r="X116" t="str">
            <v>9e</v>
          </cell>
          <cell r="Y116" t="str">
            <v>NC</v>
          </cell>
          <cell r="AA116" t="str">
            <v>NC</v>
          </cell>
          <cell r="AC116">
            <v>1</v>
          </cell>
          <cell r="AD116">
            <v>9</v>
          </cell>
          <cell r="AE116">
            <v>1</v>
          </cell>
          <cell r="AF116">
            <v>9</v>
          </cell>
          <cell r="AK116">
            <v>1</v>
          </cell>
          <cell r="AL116" t="str">
            <v>NC</v>
          </cell>
          <cell r="AO116">
            <v>3.4</v>
          </cell>
          <cell r="AP116">
            <v>15</v>
          </cell>
          <cell r="AQ116">
            <v>0.08</v>
          </cell>
          <cell r="AT116">
            <v>22000</v>
          </cell>
          <cell r="AU116">
            <v>2.9719790338574863</v>
          </cell>
          <cell r="AV116">
            <v>27</v>
          </cell>
          <cell r="AW116">
            <v>0</v>
          </cell>
          <cell r="AX116">
            <v>0.1</v>
          </cell>
          <cell r="AY116">
            <v>1</v>
          </cell>
          <cell r="AZ116">
            <v>49000</v>
          </cell>
          <cell r="BA116">
            <v>22</v>
          </cell>
          <cell r="BB116">
            <v>1.42E-3</v>
          </cell>
          <cell r="BC116">
            <v>22</v>
          </cell>
          <cell r="BD116">
            <v>5.8110983794401702E-2</v>
          </cell>
          <cell r="BE116">
            <v>181</v>
          </cell>
          <cell r="BF116">
            <v>11</v>
          </cell>
          <cell r="BH116">
            <v>4.0199999999999996</v>
          </cell>
          <cell r="BI116">
            <v>16</v>
          </cell>
          <cell r="BJ116">
            <v>1660</v>
          </cell>
          <cell r="BK116" t="str">
            <v>17a</v>
          </cell>
          <cell r="BL116">
            <v>17</v>
          </cell>
          <cell r="BM116">
            <v>17</v>
          </cell>
          <cell r="BO116">
            <v>6.9119406439804909E-2</v>
          </cell>
          <cell r="BS116">
            <v>1000</v>
          </cell>
          <cell r="BT116" t="str">
            <v>Ceiling (High)</v>
          </cell>
          <cell r="BV116">
            <v>3000</v>
          </cell>
          <cell r="BW116" t="str">
            <v>Ceiling (High)</v>
          </cell>
          <cell r="BY116">
            <v>5000</v>
          </cell>
          <cell r="BZ116" t="str">
            <v>Ceiling (High)</v>
          </cell>
          <cell r="CA116">
            <v>50000</v>
          </cell>
          <cell r="CB116" t="str">
            <v>0.005%</v>
          </cell>
        </row>
        <row r="117">
          <cell r="A117" t="str">
            <v>TRICHLOROETHANE, 1,1,1-</v>
          </cell>
          <cell r="B117" t="str">
            <v>71-55-6</v>
          </cell>
          <cell r="C117">
            <v>42922</v>
          </cell>
          <cell r="D117">
            <v>2</v>
          </cell>
          <cell r="E117">
            <v>1</v>
          </cell>
          <cell r="F117">
            <v>7</v>
          </cell>
          <cell r="G117">
            <v>1</v>
          </cell>
          <cell r="H117">
            <v>5</v>
          </cell>
          <cell r="I117">
            <v>1</v>
          </cell>
          <cell r="J117">
            <v>5</v>
          </cell>
          <cell r="K117">
            <v>1</v>
          </cell>
          <cell r="M117" t="str">
            <v>D</v>
          </cell>
          <cell r="N117">
            <v>1</v>
          </cell>
          <cell r="Q117">
            <v>1</v>
          </cell>
          <cell r="R117" t="str">
            <v>9e</v>
          </cell>
          <cell r="S117">
            <v>0.03</v>
          </cell>
          <cell r="T117" t="str">
            <v>9e</v>
          </cell>
          <cell r="U117">
            <v>1</v>
          </cell>
          <cell r="V117" t="str">
            <v>9e</v>
          </cell>
          <cell r="W117">
            <v>0.03</v>
          </cell>
          <cell r="X117" t="str">
            <v>9e</v>
          </cell>
          <cell r="Y117" t="str">
            <v>NC</v>
          </cell>
          <cell r="AA117" t="str">
            <v>NC</v>
          </cell>
          <cell r="AC117">
            <v>1</v>
          </cell>
          <cell r="AD117">
            <v>9</v>
          </cell>
          <cell r="AE117">
            <v>1</v>
          </cell>
          <cell r="AF117">
            <v>9</v>
          </cell>
          <cell r="AK117">
            <v>1</v>
          </cell>
          <cell r="AL117" t="str">
            <v>NC</v>
          </cell>
          <cell r="AO117">
            <v>3</v>
          </cell>
          <cell r="AP117">
            <v>20</v>
          </cell>
          <cell r="AQ117">
            <v>3.67</v>
          </cell>
          <cell r="AR117">
            <v>50000</v>
          </cell>
          <cell r="AS117">
            <v>24</v>
          </cell>
          <cell r="AT117">
            <v>65127</v>
          </cell>
          <cell r="AU117">
            <v>11.973222903412374</v>
          </cell>
          <cell r="AV117">
            <v>13</v>
          </cell>
          <cell r="AW117">
            <v>8.3519701258965089</v>
          </cell>
          <cell r="AX117">
            <v>0.1</v>
          </cell>
          <cell r="AY117">
            <v>1.5</v>
          </cell>
          <cell r="AZ117">
            <v>1290000</v>
          </cell>
          <cell r="BA117">
            <v>22</v>
          </cell>
          <cell r="BB117">
            <v>1.72E-2</v>
          </cell>
          <cell r="BC117">
            <v>22</v>
          </cell>
          <cell r="BD117">
            <v>0.70387952201669668</v>
          </cell>
          <cell r="BE117">
            <v>133</v>
          </cell>
          <cell r="BF117">
            <v>13</v>
          </cell>
          <cell r="BG117">
            <v>100</v>
          </cell>
          <cell r="BH117">
            <v>2.4900000000000002</v>
          </cell>
          <cell r="BI117">
            <v>16</v>
          </cell>
          <cell r="BJ117">
            <v>135</v>
          </cell>
          <cell r="BK117" t="str">
            <v>17a</v>
          </cell>
          <cell r="BL117">
            <v>-30.4</v>
          </cell>
          <cell r="BM117">
            <v>17</v>
          </cell>
          <cell r="BO117">
            <v>1.2548736499304816E-2</v>
          </cell>
          <cell r="BS117">
            <v>500</v>
          </cell>
          <cell r="BT117" t="str">
            <v>Ceiling (Medium)</v>
          </cell>
          <cell r="BV117">
            <v>1000</v>
          </cell>
          <cell r="BW117" t="str">
            <v>Ceiling (Medium)</v>
          </cell>
          <cell r="BY117">
            <v>3000</v>
          </cell>
          <cell r="BZ117" t="str">
            <v>Ceiling (Medium)</v>
          </cell>
          <cell r="CA117">
            <v>50000</v>
          </cell>
          <cell r="CB117" t="str">
            <v>0.005%</v>
          </cell>
        </row>
        <row r="118">
          <cell r="A118" t="str">
            <v>TRICHLOROETHANE, 1,1,2-</v>
          </cell>
          <cell r="B118" t="str">
            <v xml:space="preserve">79-00-5 </v>
          </cell>
          <cell r="C118">
            <v>42922</v>
          </cell>
          <cell r="D118">
            <v>4.0000000000000001E-3</v>
          </cell>
          <cell r="E118">
            <v>1</v>
          </cell>
          <cell r="F118">
            <v>4.0000000000000001E-3</v>
          </cell>
          <cell r="G118">
            <v>6</v>
          </cell>
          <cell r="H118">
            <v>7.3999999999999996E-2</v>
          </cell>
          <cell r="I118">
            <v>3</v>
          </cell>
          <cell r="J118">
            <v>7.3999999999999996E-2</v>
          </cell>
          <cell r="K118" t="str">
            <v>7c</v>
          </cell>
          <cell r="L118">
            <v>5.7000000000000002E-2</v>
          </cell>
          <cell r="M118" t="str">
            <v>C</v>
          </cell>
          <cell r="N118">
            <v>1</v>
          </cell>
          <cell r="O118">
            <v>1.5999999999999999E-5</v>
          </cell>
          <cell r="P118">
            <v>1</v>
          </cell>
          <cell r="Q118">
            <v>1</v>
          </cell>
          <cell r="R118" t="str">
            <v>9e</v>
          </cell>
          <cell r="S118">
            <v>0.03</v>
          </cell>
          <cell r="T118" t="str">
            <v>9e</v>
          </cell>
          <cell r="U118">
            <v>1</v>
          </cell>
          <cell r="V118" t="str">
            <v>9e</v>
          </cell>
          <cell r="W118">
            <v>0.03</v>
          </cell>
          <cell r="X118" t="str">
            <v>9e</v>
          </cell>
          <cell r="Y118">
            <v>1</v>
          </cell>
          <cell r="Z118" t="str">
            <v>9e</v>
          </cell>
          <cell r="AA118">
            <v>0.03</v>
          </cell>
          <cell r="AB118" t="str">
            <v>9e</v>
          </cell>
          <cell r="AC118">
            <v>1</v>
          </cell>
          <cell r="AD118">
            <v>9</v>
          </cell>
          <cell r="AE118">
            <v>1</v>
          </cell>
          <cell r="AF118">
            <v>9</v>
          </cell>
          <cell r="AG118">
            <v>1</v>
          </cell>
          <cell r="AH118">
            <v>9</v>
          </cell>
          <cell r="AK118">
            <v>1</v>
          </cell>
          <cell r="AL118">
            <v>1</v>
          </cell>
          <cell r="AO118">
            <v>9.98</v>
          </cell>
          <cell r="AP118">
            <v>10</v>
          </cell>
          <cell r="AQ118">
            <v>1.835</v>
          </cell>
          <cell r="AU118">
            <v>0</v>
          </cell>
          <cell r="AW118">
            <v>0</v>
          </cell>
          <cell r="AX118">
            <v>0.1</v>
          </cell>
          <cell r="AY118">
            <v>0.5</v>
          </cell>
          <cell r="AZ118">
            <v>4590000</v>
          </cell>
          <cell r="BA118">
            <v>22</v>
          </cell>
          <cell r="BB118">
            <v>8.2399999999999997E-4</v>
          </cell>
          <cell r="BC118">
            <v>22</v>
          </cell>
          <cell r="BD118">
            <v>3.3720739891962677E-2</v>
          </cell>
          <cell r="BE118">
            <v>133</v>
          </cell>
          <cell r="BF118">
            <v>13</v>
          </cell>
          <cell r="BG118">
            <v>25</v>
          </cell>
          <cell r="BH118">
            <v>1.89</v>
          </cell>
          <cell r="BI118">
            <v>16</v>
          </cell>
          <cell r="BJ118">
            <v>75</v>
          </cell>
          <cell r="BK118" t="str">
            <v>17a</v>
          </cell>
          <cell r="BL118">
            <v>-36.6</v>
          </cell>
          <cell r="BM118">
            <v>17</v>
          </cell>
          <cell r="BO118">
            <v>5.0419670131853726E-3</v>
          </cell>
          <cell r="BS118">
            <v>100</v>
          </cell>
          <cell r="BT118" t="str">
            <v>Ceiling (Low)</v>
          </cell>
          <cell r="BV118">
            <v>500</v>
          </cell>
          <cell r="BW118" t="str">
            <v>Ceiling (Low)</v>
          </cell>
          <cell r="BY118">
            <v>500</v>
          </cell>
          <cell r="BZ118" t="str">
            <v>High Volatility</v>
          </cell>
          <cell r="CA118">
            <v>50000</v>
          </cell>
          <cell r="CB118" t="str">
            <v>0.005%</v>
          </cell>
        </row>
        <row r="119">
          <cell r="A119" t="str">
            <v>TRICHLOROETHYLENE</v>
          </cell>
          <cell r="B119" t="str">
            <v>79-01-6</v>
          </cell>
          <cell r="C119">
            <v>42922</v>
          </cell>
          <cell r="D119">
            <v>5.0000000000000001E-4</v>
          </cell>
          <cell r="E119">
            <v>1</v>
          </cell>
          <cell r="F119">
            <v>5.0000000000000001E-4</v>
          </cell>
          <cell r="G119" t="str">
            <v>1d</v>
          </cell>
          <cell r="H119">
            <v>2E-3</v>
          </cell>
          <cell r="I119">
            <v>1</v>
          </cell>
          <cell r="J119">
            <v>2E-3</v>
          </cell>
          <cell r="K119" t="str">
            <v>1j</v>
          </cell>
          <cell r="L119">
            <v>4.6300000000000001E-2</v>
          </cell>
          <cell r="M119" t="str">
            <v>C-B2</v>
          </cell>
          <cell r="N119">
            <v>1</v>
          </cell>
          <cell r="O119">
            <v>4.0999999999999997E-6</v>
          </cell>
          <cell r="P119">
            <v>1</v>
          </cell>
          <cell r="Q119">
            <v>1</v>
          </cell>
          <cell r="R119" t="str">
            <v>9e</v>
          </cell>
          <cell r="S119">
            <v>0.03</v>
          </cell>
          <cell r="T119" t="str">
            <v>9e</v>
          </cell>
          <cell r="U119">
            <v>1</v>
          </cell>
          <cell r="V119" t="str">
            <v>9e</v>
          </cell>
          <cell r="W119">
            <v>0.03</v>
          </cell>
          <cell r="X119" t="str">
            <v>9e</v>
          </cell>
          <cell r="Y119">
            <v>1</v>
          </cell>
          <cell r="Z119" t="str">
            <v>9e</v>
          </cell>
          <cell r="AA119">
            <v>0.03</v>
          </cell>
          <cell r="AB119" t="str">
            <v>9e</v>
          </cell>
          <cell r="AC119">
            <v>1</v>
          </cell>
          <cell r="AD119">
            <v>9</v>
          </cell>
          <cell r="AE119">
            <v>1</v>
          </cell>
          <cell r="AF119">
            <v>9</v>
          </cell>
          <cell r="AG119">
            <v>1</v>
          </cell>
          <cell r="AH119">
            <v>9</v>
          </cell>
          <cell r="AJ119" t="str">
            <v>M</v>
          </cell>
          <cell r="AK119">
            <v>1</v>
          </cell>
          <cell r="AL119">
            <v>1</v>
          </cell>
          <cell r="AO119">
            <v>0.8</v>
          </cell>
          <cell r="AP119">
            <v>20</v>
          </cell>
          <cell r="AQ119">
            <v>0.83799999999999997</v>
          </cell>
          <cell r="AR119">
            <v>10000</v>
          </cell>
          <cell r="AS119">
            <v>24</v>
          </cell>
          <cell r="AT119">
            <v>1360000</v>
          </cell>
          <cell r="AU119">
            <v>253.84537091407313</v>
          </cell>
          <cell r="AV119">
            <v>28</v>
          </cell>
          <cell r="AW119">
            <v>0.30333426890051329</v>
          </cell>
          <cell r="AX119">
            <v>5.0000000000000001E-3</v>
          </cell>
          <cell r="AY119">
            <v>2</v>
          </cell>
          <cell r="AZ119">
            <v>1280000</v>
          </cell>
          <cell r="BA119">
            <v>22</v>
          </cell>
          <cell r="BB119">
            <v>9.8499999999999994E-3</v>
          </cell>
          <cell r="BC119">
            <v>22</v>
          </cell>
          <cell r="BD119">
            <v>0.40309379603863149</v>
          </cell>
          <cell r="BE119">
            <v>131</v>
          </cell>
          <cell r="BF119">
            <v>13</v>
          </cell>
          <cell r="BG119">
            <v>77</v>
          </cell>
          <cell r="BH119">
            <v>2.42</v>
          </cell>
          <cell r="BI119">
            <v>16</v>
          </cell>
          <cell r="BJ119">
            <v>94.3</v>
          </cell>
          <cell r="BK119" t="str">
            <v>17a</v>
          </cell>
          <cell r="BL119">
            <v>-84.7</v>
          </cell>
          <cell r="BM119">
            <v>17</v>
          </cell>
          <cell r="BO119">
            <v>1.1577105741152704E-2</v>
          </cell>
          <cell r="BS119">
            <v>500</v>
          </cell>
          <cell r="BT119" t="str">
            <v>Ceiling (Medium)</v>
          </cell>
          <cell r="BV119">
            <v>1000</v>
          </cell>
          <cell r="BW119" t="str">
            <v>Ceiling (Medium)</v>
          </cell>
          <cell r="BY119">
            <v>3000</v>
          </cell>
          <cell r="BZ119" t="str">
            <v>Ceiling (Medium)</v>
          </cell>
          <cell r="CA119">
            <v>50000</v>
          </cell>
          <cell r="CB119" t="str">
            <v>0.005%</v>
          </cell>
        </row>
        <row r="120">
          <cell r="A120" t="str">
            <v>TRICHLOROPHENOL, 2,4,5-</v>
          </cell>
          <cell r="B120" t="str">
            <v>95-95-4</v>
          </cell>
          <cell r="C120">
            <v>42922</v>
          </cell>
          <cell r="D120">
            <v>0.1</v>
          </cell>
          <cell r="E120">
            <v>1</v>
          </cell>
          <cell r="F120">
            <v>0.3</v>
          </cell>
          <cell r="G120">
            <v>6</v>
          </cell>
          <cell r="H120">
            <v>0.35</v>
          </cell>
          <cell r="I120" t="str">
            <v>7b</v>
          </cell>
          <cell r="J120">
            <v>1</v>
          </cell>
          <cell r="K120" t="str">
            <v>7b</v>
          </cell>
          <cell r="Q120">
            <v>1</v>
          </cell>
          <cell r="R120" t="str">
            <v>9e</v>
          </cell>
          <cell r="S120">
            <v>0.3</v>
          </cell>
          <cell r="T120" t="str">
            <v>9b</v>
          </cell>
          <cell r="U120">
            <v>1</v>
          </cell>
          <cell r="V120" t="str">
            <v>9e</v>
          </cell>
          <cell r="W120">
            <v>0.3</v>
          </cell>
          <cell r="X120" t="str">
            <v>9b</v>
          </cell>
          <cell r="Y120" t="str">
            <v>NC</v>
          </cell>
          <cell r="AA120" t="str">
            <v>NC</v>
          </cell>
          <cell r="AC120">
            <v>1</v>
          </cell>
          <cell r="AD120">
            <v>9</v>
          </cell>
          <cell r="AE120">
            <v>1</v>
          </cell>
          <cell r="AF120">
            <v>9</v>
          </cell>
          <cell r="AK120">
            <v>1</v>
          </cell>
          <cell r="AL120" t="str">
            <v>NC</v>
          </cell>
          <cell r="AO120">
            <v>0</v>
          </cell>
          <cell r="AR120">
            <v>200</v>
          </cell>
          <cell r="AS120">
            <v>24</v>
          </cell>
          <cell r="AU120">
            <v>0</v>
          </cell>
          <cell r="AW120">
            <v>0</v>
          </cell>
          <cell r="AX120">
            <v>0.66</v>
          </cell>
          <cell r="AY120">
            <v>10</v>
          </cell>
          <cell r="AZ120">
            <v>1200000</v>
          </cell>
          <cell r="BA120">
            <v>22</v>
          </cell>
          <cell r="BB120">
            <v>1.6199999999999999E-6</v>
          </cell>
          <cell r="BC120">
            <v>22</v>
          </cell>
          <cell r="BD120">
            <v>6.629562939924701E-5</v>
          </cell>
          <cell r="BE120">
            <v>197</v>
          </cell>
          <cell r="BF120">
            <v>11</v>
          </cell>
          <cell r="BH120">
            <v>3.72</v>
          </cell>
          <cell r="BI120">
            <v>17</v>
          </cell>
          <cell r="BJ120">
            <v>298</v>
          </cell>
          <cell r="BK120" t="str">
            <v>17b</v>
          </cell>
          <cell r="BL120">
            <v>69</v>
          </cell>
          <cell r="BM120">
            <v>17</v>
          </cell>
          <cell r="BO120">
            <v>3.5645113342624428E-2</v>
          </cell>
          <cell r="BS120">
            <v>1000</v>
          </cell>
          <cell r="BT120" t="str">
            <v>Ceiling (High)</v>
          </cell>
          <cell r="BV120">
            <v>3000</v>
          </cell>
          <cell r="BW120" t="str">
            <v>Ceiling (High)</v>
          </cell>
          <cell r="BY120">
            <v>5000</v>
          </cell>
          <cell r="BZ120" t="str">
            <v>Ceiling (High)</v>
          </cell>
          <cell r="CA120">
            <v>50000</v>
          </cell>
          <cell r="CB120" t="str">
            <v>0.005%</v>
          </cell>
        </row>
        <row r="121">
          <cell r="A121" t="str">
            <v>TRICHLOROPHENOL 2,4,6-</v>
          </cell>
          <cell r="B121" t="str">
            <v>88-06-2</v>
          </cell>
          <cell r="C121">
            <v>42922</v>
          </cell>
          <cell r="D121">
            <v>1E-3</v>
          </cell>
          <cell r="E121">
            <v>6</v>
          </cell>
          <cell r="F121">
            <v>0.01</v>
          </cell>
          <cell r="G121" t="str">
            <v>6d</v>
          </cell>
          <cell r="H121">
            <v>4.0000000000000001E-3</v>
          </cell>
          <cell r="I121" t="str">
            <v>7b</v>
          </cell>
          <cell r="J121">
            <v>0.04</v>
          </cell>
          <cell r="K121" t="str">
            <v>7b</v>
          </cell>
          <cell r="L121">
            <v>1.0999999999999999E-2</v>
          </cell>
          <cell r="M121" t="str">
            <v>B2</v>
          </cell>
          <cell r="N121">
            <v>1</v>
          </cell>
          <cell r="O121">
            <v>3.1E-6</v>
          </cell>
          <cell r="P121">
            <v>1</v>
          </cell>
          <cell r="Q121">
            <v>1</v>
          </cell>
          <cell r="R121" t="str">
            <v>9e</v>
          </cell>
          <cell r="S121">
            <v>0.3</v>
          </cell>
          <cell r="T121" t="str">
            <v>9b</v>
          </cell>
          <cell r="U121">
            <v>1</v>
          </cell>
          <cell r="V121" t="str">
            <v>9e</v>
          </cell>
          <cell r="W121">
            <v>0.3</v>
          </cell>
          <cell r="X121" t="str">
            <v>9b</v>
          </cell>
          <cell r="Y121">
            <v>1</v>
          </cell>
          <cell r="Z121" t="str">
            <v>9e</v>
          </cell>
          <cell r="AA121">
            <v>0.3</v>
          </cell>
          <cell r="AB121" t="str">
            <v>9b</v>
          </cell>
          <cell r="AC121">
            <v>1</v>
          </cell>
          <cell r="AD121">
            <v>9</v>
          </cell>
          <cell r="AE121">
            <v>1</v>
          </cell>
          <cell r="AF121">
            <v>9</v>
          </cell>
          <cell r="AG121">
            <v>1</v>
          </cell>
          <cell r="AH121">
            <v>9</v>
          </cell>
          <cell r="AK121">
            <v>1</v>
          </cell>
          <cell r="AL121">
            <v>1</v>
          </cell>
          <cell r="AO121">
            <v>0</v>
          </cell>
          <cell r="AR121">
            <v>100</v>
          </cell>
          <cell r="AS121">
            <v>13</v>
          </cell>
          <cell r="AT121">
            <v>0.3</v>
          </cell>
          <cell r="AU121">
            <v>3.7235454900429518E-5</v>
          </cell>
          <cell r="AV121">
            <v>13</v>
          </cell>
          <cell r="AW121">
            <v>0</v>
          </cell>
          <cell r="AX121">
            <v>0.66</v>
          </cell>
          <cell r="AY121">
            <v>10</v>
          </cell>
          <cell r="AZ121">
            <v>800000</v>
          </cell>
          <cell r="BA121">
            <v>22</v>
          </cell>
          <cell r="BB121">
            <v>2.6000000000000001E-6</v>
          </cell>
          <cell r="BC121">
            <v>22</v>
          </cell>
          <cell r="BD121">
            <v>1.0640039286298905E-4</v>
          </cell>
          <cell r="BE121">
            <v>197</v>
          </cell>
          <cell r="BF121">
            <v>13</v>
          </cell>
          <cell r="BH121">
            <v>3.69</v>
          </cell>
          <cell r="BI121">
            <v>16</v>
          </cell>
          <cell r="BJ121">
            <v>131</v>
          </cell>
          <cell r="BK121" t="str">
            <v>17b</v>
          </cell>
          <cell r="BL121">
            <v>69</v>
          </cell>
          <cell r="BM121">
            <v>17</v>
          </cell>
          <cell r="BO121">
            <v>3.4056498956736098E-2</v>
          </cell>
          <cell r="BS121">
            <v>1000</v>
          </cell>
          <cell r="BT121" t="str">
            <v>Ceiling (High)</v>
          </cell>
          <cell r="BV121">
            <v>3000</v>
          </cell>
          <cell r="BW121" t="str">
            <v>Ceiling (High)</v>
          </cell>
          <cell r="BY121">
            <v>5000</v>
          </cell>
          <cell r="BZ121" t="str">
            <v>Ceiling (High)</v>
          </cell>
          <cell r="CA121">
            <v>50000</v>
          </cell>
          <cell r="CB121" t="str">
            <v>0.005%</v>
          </cell>
        </row>
        <row r="122">
          <cell r="A122" t="str">
            <v>VANADIUM</v>
          </cell>
          <cell r="B122" t="str">
            <v>7440-62-2</v>
          </cell>
          <cell r="C122">
            <v>42922</v>
          </cell>
          <cell r="D122">
            <v>8.9999999999999993E-3</v>
          </cell>
          <cell r="E122">
            <v>1</v>
          </cell>
          <cell r="F122">
            <v>8.9999999999999993E-3</v>
          </cell>
          <cell r="G122" t="str">
            <v>1d</v>
          </cell>
          <cell r="H122">
            <v>1E-3</v>
          </cell>
          <cell r="I122">
            <v>3</v>
          </cell>
          <cell r="J122">
            <v>1E-3</v>
          </cell>
          <cell r="K122" t="str">
            <v>7c</v>
          </cell>
          <cell r="Q122">
            <v>1</v>
          </cell>
          <cell r="R122" t="str">
            <v>9e</v>
          </cell>
          <cell r="S122">
            <v>0.1</v>
          </cell>
          <cell r="T122" t="str">
            <v>9e</v>
          </cell>
          <cell r="U122">
            <v>1</v>
          </cell>
          <cell r="V122" t="str">
            <v>9e</v>
          </cell>
          <cell r="W122">
            <v>0.1</v>
          </cell>
          <cell r="X122" t="str">
            <v>9e</v>
          </cell>
          <cell r="Y122" t="str">
            <v>NC</v>
          </cell>
          <cell r="AA122" t="str">
            <v>NC</v>
          </cell>
          <cell r="AC122">
            <v>1</v>
          </cell>
          <cell r="AD122">
            <v>9</v>
          </cell>
          <cell r="AE122">
            <v>1</v>
          </cell>
          <cell r="AF122">
            <v>9</v>
          </cell>
          <cell r="AI122">
            <v>30</v>
          </cell>
          <cell r="AK122">
            <v>0.05</v>
          </cell>
          <cell r="AL122" t="str">
            <v>NC</v>
          </cell>
          <cell r="AM122">
            <v>30</v>
          </cell>
          <cell r="AO122">
            <v>0</v>
          </cell>
          <cell r="AU122">
            <v>0</v>
          </cell>
          <cell r="AW122">
            <v>0</v>
          </cell>
          <cell r="AX122">
            <v>0</v>
          </cell>
          <cell r="AY122">
            <v>8</v>
          </cell>
          <cell r="AZ122">
            <v>0</v>
          </cell>
          <cell r="BD122">
            <v>0</v>
          </cell>
          <cell r="BE122">
            <v>51</v>
          </cell>
          <cell r="BF122">
            <v>13</v>
          </cell>
          <cell r="BO122">
            <v>1E-3</v>
          </cell>
          <cell r="BS122">
            <v>1000</v>
          </cell>
          <cell r="BT122" t="str">
            <v>Ceiling (High)</v>
          </cell>
          <cell r="BV122">
            <v>3000</v>
          </cell>
          <cell r="BW122" t="str">
            <v>Ceiling (High)</v>
          </cell>
          <cell r="BY122">
            <v>5000</v>
          </cell>
          <cell r="BZ122" t="str">
            <v>Ceiling (High)</v>
          </cell>
          <cell r="CA122">
            <v>50000</v>
          </cell>
          <cell r="CB122" t="str">
            <v>0.005%</v>
          </cell>
          <cell r="CC122" t="str">
            <v>Y</v>
          </cell>
        </row>
        <row r="123">
          <cell r="A123" t="str">
            <v>VINYL CHLORIDE</v>
          </cell>
          <cell r="B123" t="str">
            <v>75-01-4</v>
          </cell>
          <cell r="C123">
            <v>42922</v>
          </cell>
          <cell r="D123">
            <v>3.0000000000000001E-3</v>
          </cell>
          <cell r="E123">
            <v>1</v>
          </cell>
          <cell r="F123">
            <v>3.0000000000000001E-3</v>
          </cell>
          <cell r="G123" t="str">
            <v>1d</v>
          </cell>
          <cell r="H123">
            <v>0.1</v>
          </cell>
          <cell r="I123">
            <v>1</v>
          </cell>
          <cell r="J123">
            <v>0.1</v>
          </cell>
          <cell r="K123" t="str">
            <v>7c</v>
          </cell>
          <cell r="L123">
            <v>0.72</v>
          </cell>
          <cell r="M123" t="str">
            <v>A</v>
          </cell>
          <cell r="N123">
            <v>1</v>
          </cell>
          <cell r="O123">
            <v>4.4000000000000002E-6</v>
          </cell>
          <cell r="P123">
            <v>1</v>
          </cell>
          <cell r="Q123">
            <v>1</v>
          </cell>
          <cell r="R123" t="str">
            <v>9e</v>
          </cell>
          <cell r="S123">
            <v>0.03</v>
          </cell>
          <cell r="T123" t="str">
            <v>9e</v>
          </cell>
          <cell r="U123">
            <v>1</v>
          </cell>
          <cell r="V123" t="str">
            <v>9e</v>
          </cell>
          <cell r="W123">
            <v>0.03</v>
          </cell>
          <cell r="X123" t="str">
            <v>9e</v>
          </cell>
          <cell r="Y123">
            <v>1</v>
          </cell>
          <cell r="Z123" t="str">
            <v>9e</v>
          </cell>
          <cell r="AA123">
            <v>0.03</v>
          </cell>
          <cell r="AB123" t="str">
            <v>9e</v>
          </cell>
          <cell r="AC123">
            <v>1</v>
          </cell>
          <cell r="AD123">
            <v>9</v>
          </cell>
          <cell r="AE123">
            <v>1</v>
          </cell>
          <cell r="AF123">
            <v>9</v>
          </cell>
          <cell r="AG123">
            <v>1</v>
          </cell>
          <cell r="AH123">
            <v>9</v>
          </cell>
          <cell r="AJ123" t="str">
            <v>M</v>
          </cell>
          <cell r="AK123">
            <v>0.98</v>
          </cell>
          <cell r="AL123">
            <v>0.64</v>
          </cell>
          <cell r="AO123">
            <v>0</v>
          </cell>
          <cell r="AR123">
            <v>3400</v>
          </cell>
          <cell r="AS123">
            <v>13</v>
          </cell>
          <cell r="AT123">
            <v>771244</v>
          </cell>
          <cell r="AU123">
            <v>299.33181864061856</v>
          </cell>
          <cell r="AV123">
            <v>13</v>
          </cell>
          <cell r="AW123">
            <v>8.61919728987308</v>
          </cell>
          <cell r="AX123">
            <v>0.1</v>
          </cell>
          <cell r="AY123">
            <v>1.5</v>
          </cell>
          <cell r="AZ123">
            <v>8800000</v>
          </cell>
          <cell r="BA123">
            <v>22</v>
          </cell>
          <cell r="BB123">
            <v>2.7799999999999998E-2</v>
          </cell>
          <cell r="BC123">
            <v>22</v>
          </cell>
          <cell r="BD123">
            <v>1.1376657390734981</v>
          </cell>
          <cell r="BE123">
            <v>63</v>
          </cell>
          <cell r="BF123">
            <v>13</v>
          </cell>
          <cell r="BG123">
            <v>2580</v>
          </cell>
          <cell r="BH123">
            <v>1.62</v>
          </cell>
          <cell r="BI123">
            <v>16</v>
          </cell>
          <cell r="BJ123">
            <v>18.600000000000001</v>
          </cell>
          <cell r="BK123" t="str">
            <v>17b</v>
          </cell>
          <cell r="BL123">
            <v>-153.69999999999999</v>
          </cell>
          <cell r="BM123">
            <v>17</v>
          </cell>
          <cell r="BO123">
            <v>8.2489752393533015E-3</v>
          </cell>
          <cell r="BS123">
            <v>500</v>
          </cell>
          <cell r="BT123" t="str">
            <v>Ceiling (Medium)</v>
          </cell>
          <cell r="BV123">
            <v>1000</v>
          </cell>
          <cell r="BW123" t="str">
            <v>Ceiling (Medium)</v>
          </cell>
          <cell r="BY123">
            <v>3000</v>
          </cell>
          <cell r="BZ123" t="str">
            <v>Ceiling (Medium)</v>
          </cell>
          <cell r="CA123">
            <v>50000</v>
          </cell>
          <cell r="CB123" t="str">
            <v>0.005%</v>
          </cell>
        </row>
        <row r="124">
          <cell r="A124" t="str">
            <v>XYLENES (Mixed Isomers)</v>
          </cell>
          <cell r="B124" t="str">
            <v>1330-20-7</v>
          </cell>
          <cell r="C124">
            <v>42922</v>
          </cell>
          <cell r="D124">
            <v>0.2</v>
          </cell>
          <cell r="E124">
            <v>1</v>
          </cell>
          <cell r="F124">
            <v>0.4</v>
          </cell>
          <cell r="G124">
            <v>6</v>
          </cell>
          <cell r="H124">
            <v>0.1</v>
          </cell>
          <cell r="I124">
            <v>1</v>
          </cell>
          <cell r="J124">
            <v>0.4</v>
          </cell>
          <cell r="K124">
            <v>6</v>
          </cell>
          <cell r="M124" t="str">
            <v>D</v>
          </cell>
          <cell r="N124">
            <v>1</v>
          </cell>
          <cell r="Q124">
            <v>1</v>
          </cell>
          <cell r="R124" t="str">
            <v>9e</v>
          </cell>
          <cell r="S124">
            <v>0.03</v>
          </cell>
          <cell r="T124" t="str">
            <v>9e</v>
          </cell>
          <cell r="U124">
            <v>1</v>
          </cell>
          <cell r="V124" t="str">
            <v>9e</v>
          </cell>
          <cell r="W124">
            <v>0.03</v>
          </cell>
          <cell r="X124" t="str">
            <v>9e</v>
          </cell>
          <cell r="Y124" t="str">
            <v>NC</v>
          </cell>
          <cell r="AA124" t="str">
            <v>NC</v>
          </cell>
          <cell r="AC124">
            <v>1</v>
          </cell>
          <cell r="AD124">
            <v>9</v>
          </cell>
          <cell r="AE124">
            <v>1</v>
          </cell>
          <cell r="AF124">
            <v>9</v>
          </cell>
          <cell r="AK124">
            <v>1</v>
          </cell>
          <cell r="AL124" t="str">
            <v>NC</v>
          </cell>
          <cell r="AO124">
            <v>28</v>
          </cell>
          <cell r="AP124">
            <v>40</v>
          </cell>
          <cell r="AQ124">
            <v>16.702999999999999</v>
          </cell>
          <cell r="AR124">
            <v>530</v>
          </cell>
          <cell r="AS124">
            <v>24</v>
          </cell>
          <cell r="AT124">
            <v>441</v>
          </cell>
          <cell r="AU124">
            <v>0.10172656023222058</v>
          </cell>
          <cell r="AV124">
            <v>13</v>
          </cell>
          <cell r="AW124">
            <v>58.981646349815108</v>
          </cell>
          <cell r="AX124">
            <v>0.1</v>
          </cell>
          <cell r="AY124">
            <v>2.5</v>
          </cell>
          <cell r="AZ124">
            <v>106000</v>
          </cell>
          <cell r="BA124">
            <v>22</v>
          </cell>
          <cell r="BB124">
            <v>6.6299999999999996E-3</v>
          </cell>
          <cell r="BC124">
            <v>22</v>
          </cell>
          <cell r="BD124">
            <v>0.27132100180062202</v>
          </cell>
          <cell r="BE124">
            <v>106</v>
          </cell>
          <cell r="BF124">
            <v>13</v>
          </cell>
          <cell r="BG124">
            <v>6</v>
          </cell>
          <cell r="BH124">
            <v>3.16</v>
          </cell>
          <cell r="BI124">
            <v>16</v>
          </cell>
          <cell r="BJ124">
            <v>249.33333333333334</v>
          </cell>
          <cell r="BK124" t="str">
            <v>17a</v>
          </cell>
          <cell r="BL124">
            <v>13.2</v>
          </cell>
          <cell r="BM124">
            <v>17</v>
          </cell>
          <cell r="BO124">
            <v>4.9203953568145137E-2</v>
          </cell>
          <cell r="BS124">
            <v>500</v>
          </cell>
          <cell r="BT124" t="str">
            <v>Ceiling (Medium)</v>
          </cell>
          <cell r="BV124">
            <v>1000</v>
          </cell>
          <cell r="BW124" t="str">
            <v>Ceiling (Medium)</v>
          </cell>
          <cell r="BY124">
            <v>3000</v>
          </cell>
          <cell r="BZ124" t="str">
            <v>Ceiling (Medium)</v>
          </cell>
          <cell r="CA124">
            <v>50000</v>
          </cell>
          <cell r="CB124" t="str">
            <v>0.005%</v>
          </cell>
        </row>
        <row r="125">
          <cell r="A125" t="str">
            <v>ZINC</v>
          </cell>
          <cell r="B125" t="str">
            <v>7440-66-6</v>
          </cell>
          <cell r="C125">
            <v>42923</v>
          </cell>
          <cell r="D125">
            <v>0.3</v>
          </cell>
          <cell r="E125">
            <v>1</v>
          </cell>
          <cell r="F125">
            <v>0.3</v>
          </cell>
          <cell r="G125">
            <v>2</v>
          </cell>
          <cell r="H125">
            <v>1.4E-3</v>
          </cell>
          <cell r="I125" t="str">
            <v>5b</v>
          </cell>
          <cell r="J125">
            <v>1.4E-3</v>
          </cell>
          <cell r="K125" t="str">
            <v>7c</v>
          </cell>
          <cell r="M125" t="str">
            <v>D</v>
          </cell>
          <cell r="N125">
            <v>1</v>
          </cell>
          <cell r="Q125">
            <v>1</v>
          </cell>
          <cell r="R125" t="str">
            <v>9e</v>
          </cell>
          <cell r="S125">
            <v>0.1</v>
          </cell>
          <cell r="T125" t="str">
            <v>9e</v>
          </cell>
          <cell r="U125">
            <v>1</v>
          </cell>
          <cell r="V125" t="str">
            <v>9e</v>
          </cell>
          <cell r="W125">
            <v>0.1</v>
          </cell>
          <cell r="X125" t="str">
            <v>9e</v>
          </cell>
          <cell r="Y125" t="str">
            <v>NC</v>
          </cell>
          <cell r="AA125" t="str">
            <v>NC</v>
          </cell>
          <cell r="AC125">
            <v>1</v>
          </cell>
          <cell r="AD125">
            <v>9</v>
          </cell>
          <cell r="AE125">
            <v>1</v>
          </cell>
          <cell r="AF125">
            <v>9</v>
          </cell>
          <cell r="AI125">
            <v>300</v>
          </cell>
          <cell r="AK125">
            <v>0.46</v>
          </cell>
          <cell r="AL125" t="str">
            <v>NC</v>
          </cell>
          <cell r="AM125">
            <v>100</v>
          </cell>
          <cell r="AO125">
            <v>0</v>
          </cell>
          <cell r="AU125">
            <v>0</v>
          </cell>
          <cell r="AW125">
            <v>0</v>
          </cell>
          <cell r="AX125">
            <v>0.4</v>
          </cell>
          <cell r="AY125">
            <v>2</v>
          </cell>
          <cell r="AZ125">
            <v>0</v>
          </cell>
          <cell r="BE125">
            <v>65</v>
          </cell>
          <cell r="BF125">
            <v>13</v>
          </cell>
          <cell r="BH125">
            <v>-0.47</v>
          </cell>
          <cell r="BJ125">
            <v>0</v>
          </cell>
          <cell r="BO125">
            <v>5.9999999999999995E-4</v>
          </cell>
          <cell r="BP125">
            <v>1.52</v>
          </cell>
          <cell r="BS125">
            <v>1000</v>
          </cell>
          <cell r="BT125" t="str">
            <v>Ceiling (High)</v>
          </cell>
          <cell r="BV125">
            <v>3000</v>
          </cell>
          <cell r="BW125" t="str">
            <v>Ceiling (High)</v>
          </cell>
          <cell r="BY125">
            <v>5000</v>
          </cell>
          <cell r="BZ125" t="str">
            <v>Ceiling (High)</v>
          </cell>
          <cell r="CA125">
            <v>50000</v>
          </cell>
          <cell r="CB125" t="str">
            <v>0.005%</v>
          </cell>
          <cell r="CC125" t="str">
            <v>Y</v>
          </cell>
        </row>
      </sheetData>
      <sheetData sheetId="2">
        <row r="3">
          <cell r="B3" t="str">
            <v>RISK LEVELS</v>
          </cell>
        </row>
        <row r="4">
          <cell r="B4" t="str">
            <v>(all Calculations)</v>
          </cell>
        </row>
        <row r="6">
          <cell r="B6" t="str">
            <v>Target Non-cancer Risk Level:</v>
          </cell>
        </row>
        <row r="8">
          <cell r="C8" t="str">
            <v xml:space="preserve">Hazard Index = </v>
          </cell>
          <cell r="D8">
            <v>0.2</v>
          </cell>
        </row>
        <row r="10">
          <cell r="B10" t="str">
            <v>Target Cancer Risk Level:</v>
          </cell>
        </row>
        <row r="12">
          <cell r="C12" t="str">
            <v>Excess Lifetime Cancer Risk =</v>
          </cell>
          <cell r="D12">
            <v>9.9999999999999995E-7</v>
          </cell>
        </row>
      </sheetData>
      <sheetData sheetId="3">
        <row r="3">
          <cell r="C3" t="str">
            <v>PQL</v>
          </cell>
          <cell r="D3" t="str">
            <v>PQL</v>
          </cell>
        </row>
        <row r="4">
          <cell r="C4" t="str">
            <v>Ground</v>
          </cell>
          <cell r="D4" t="str">
            <v>Soil</v>
          </cell>
        </row>
        <row r="5">
          <cell r="B5" t="str">
            <v>CASRN</v>
          </cell>
          <cell r="C5" t="str">
            <v>Water</v>
          </cell>
        </row>
        <row r="6">
          <cell r="A6" t="str">
            <v>OIL OR HAZARDOUS MATERIAL (OHM)</v>
          </cell>
          <cell r="C6" t="str">
            <v>ug/L</v>
          </cell>
          <cell r="D6" t="str">
            <v>mg/kg</v>
          </cell>
          <cell r="E6" t="str">
            <v>Ref</v>
          </cell>
        </row>
        <row r="7">
          <cell r="A7" t="str">
            <v>ACENAPHTHENE</v>
          </cell>
          <cell r="B7" t="str">
            <v>83-32-9</v>
          </cell>
          <cell r="C7">
            <v>10</v>
          </cell>
          <cell r="D7">
            <v>0.66</v>
          </cell>
          <cell r="E7" t="str">
            <v>10b</v>
          </cell>
        </row>
        <row r="8">
          <cell r="A8" t="str">
            <v>ACENAPHTHYLENE</v>
          </cell>
          <cell r="B8" t="str">
            <v>208-96-8</v>
          </cell>
          <cell r="C8">
            <v>0.5</v>
          </cell>
          <cell r="D8">
            <v>0.66</v>
          </cell>
          <cell r="E8" t="str">
            <v>10b</v>
          </cell>
        </row>
        <row r="9">
          <cell r="A9" t="str">
            <v>ACETONE</v>
          </cell>
          <cell r="B9" t="str">
            <v>67-64-1</v>
          </cell>
          <cell r="C9">
            <v>100</v>
          </cell>
          <cell r="D9">
            <v>0.1</v>
          </cell>
          <cell r="E9" t="str">
            <v>10b</v>
          </cell>
        </row>
        <row r="10">
          <cell r="A10" t="str">
            <v>ALDRIN</v>
          </cell>
          <cell r="B10" t="str">
            <v>309-00-2</v>
          </cell>
          <cell r="C10">
            <v>0.5</v>
          </cell>
          <cell r="D10">
            <v>2.6800000000000001E-3</v>
          </cell>
          <cell r="E10" t="str">
            <v>10b</v>
          </cell>
        </row>
        <row r="11">
          <cell r="A11" t="str">
            <v>ANTHRACENE</v>
          </cell>
          <cell r="B11" t="str">
            <v>120-12-7</v>
          </cell>
          <cell r="C11">
            <v>0.5</v>
          </cell>
          <cell r="D11">
            <v>0.66</v>
          </cell>
          <cell r="E11" t="str">
            <v>10b</v>
          </cell>
        </row>
        <row r="12">
          <cell r="A12" t="str">
            <v>ANTIMONY</v>
          </cell>
          <cell r="B12" t="str">
            <v>7440-36-0</v>
          </cell>
          <cell r="C12">
            <v>32</v>
          </cell>
          <cell r="D12">
            <v>6.4</v>
          </cell>
          <cell r="E12" t="str">
            <v>10a</v>
          </cell>
        </row>
        <row r="13">
          <cell r="A13" t="str">
            <v>ARSENIC</v>
          </cell>
          <cell r="B13" t="str">
            <v>7440-38-2</v>
          </cell>
          <cell r="C13">
            <v>50</v>
          </cell>
          <cell r="D13">
            <v>10.6</v>
          </cell>
          <cell r="E13" t="str">
            <v>10d</v>
          </cell>
        </row>
        <row r="14">
          <cell r="A14" t="str">
            <v>BARIUM</v>
          </cell>
          <cell r="B14" t="str">
            <v>7440-39-3</v>
          </cell>
          <cell r="C14">
            <v>2</v>
          </cell>
        </row>
        <row r="15">
          <cell r="A15" t="str">
            <v>BENZENE</v>
          </cell>
          <cell r="B15" t="str">
            <v>71-43-2</v>
          </cell>
          <cell r="C15">
            <v>0.5</v>
          </cell>
          <cell r="D15">
            <v>0.1</v>
          </cell>
          <cell r="E15" t="str">
            <v>10b</v>
          </cell>
        </row>
        <row r="16">
          <cell r="A16" t="str">
            <v>BENZO(a)ANTHRACENE</v>
          </cell>
          <cell r="B16" t="str">
            <v>56-55-3</v>
          </cell>
          <cell r="C16">
            <v>1</v>
          </cell>
          <cell r="D16">
            <v>0.66</v>
          </cell>
          <cell r="E16" t="str">
            <v>10b</v>
          </cell>
        </row>
        <row r="17">
          <cell r="A17" t="str">
            <v>BENZO(a)PYRENE</v>
          </cell>
          <cell r="B17" t="str">
            <v>50-32-8</v>
          </cell>
          <cell r="C17">
            <v>0.5</v>
          </cell>
          <cell r="D17">
            <v>0.66</v>
          </cell>
          <cell r="E17" t="str">
            <v>10b</v>
          </cell>
        </row>
        <row r="18">
          <cell r="A18" t="str">
            <v>BENZO(b)FLUORANTHENE</v>
          </cell>
          <cell r="B18" t="str">
            <v>205-99-2</v>
          </cell>
          <cell r="C18">
            <v>1</v>
          </cell>
          <cell r="D18">
            <v>0.66</v>
          </cell>
          <cell r="E18" t="str">
            <v>10b</v>
          </cell>
        </row>
        <row r="19">
          <cell r="A19" t="str">
            <v>BENZO(g,h,i)PERYLENE</v>
          </cell>
          <cell r="B19" t="str">
            <v>191-24-2</v>
          </cell>
          <cell r="C19">
            <v>0.5</v>
          </cell>
          <cell r="D19">
            <v>0.66</v>
          </cell>
          <cell r="E19" t="str">
            <v>10b</v>
          </cell>
        </row>
        <row r="20">
          <cell r="A20" t="str">
            <v>BENZO(k)FLUORANTHENE</v>
          </cell>
          <cell r="B20" t="str">
            <v>207-08-9</v>
          </cell>
          <cell r="C20">
            <v>1</v>
          </cell>
          <cell r="D20">
            <v>0.66</v>
          </cell>
          <cell r="E20" t="str">
            <v>10b</v>
          </cell>
        </row>
        <row r="21">
          <cell r="A21" t="str">
            <v>BERYLLIUM</v>
          </cell>
          <cell r="B21" t="str">
            <v>7440-41-7</v>
          </cell>
          <cell r="C21">
            <v>0.3</v>
          </cell>
          <cell r="D21">
            <v>0.06</v>
          </cell>
          <cell r="E21" t="str">
            <v>10a</v>
          </cell>
        </row>
        <row r="22">
          <cell r="A22" t="str">
            <v>BIPHENYL, 1,1-</v>
          </cell>
          <cell r="B22" t="str">
            <v xml:space="preserve">92-52-4 </v>
          </cell>
          <cell r="C22">
            <v>0.1</v>
          </cell>
          <cell r="D22">
            <v>0.05</v>
          </cell>
          <cell r="E22" t="str">
            <v>10b</v>
          </cell>
        </row>
        <row r="23">
          <cell r="A23" t="str">
            <v>BIS(2-CHLOROETHYL)ETHER</v>
          </cell>
          <cell r="B23" t="str">
            <v>111-44-4</v>
          </cell>
          <cell r="C23">
            <v>28.5</v>
          </cell>
          <cell r="D23">
            <v>0.66</v>
          </cell>
          <cell r="E23" t="str">
            <v>10a</v>
          </cell>
        </row>
        <row r="24">
          <cell r="A24" t="str">
            <v>BIS(2-CHLOROISOPROPYL)ETHER</v>
          </cell>
          <cell r="B24" t="str">
            <v>108-60-1</v>
          </cell>
          <cell r="C24">
            <v>28.5</v>
          </cell>
          <cell r="D24">
            <v>0.66</v>
          </cell>
          <cell r="E24" t="str">
            <v>10a</v>
          </cell>
        </row>
        <row r="25">
          <cell r="A25" t="str">
            <v>BIS(2-ETHYLHEXYL)PHTHALATE</v>
          </cell>
          <cell r="B25" t="str">
            <v>117-81-7</v>
          </cell>
          <cell r="C25">
            <v>4</v>
          </cell>
          <cell r="D25">
            <v>0.66</v>
          </cell>
          <cell r="E25" t="str">
            <v>10b</v>
          </cell>
        </row>
        <row r="26">
          <cell r="A26" t="str">
            <v>BROMODICHLOROMETHANE</v>
          </cell>
          <cell r="B26" t="str">
            <v>75-27-4</v>
          </cell>
          <cell r="C26">
            <v>2.5</v>
          </cell>
          <cell r="D26">
            <v>0.1</v>
          </cell>
          <cell r="E26" t="str">
            <v>10b</v>
          </cell>
        </row>
        <row r="27">
          <cell r="A27" t="str">
            <v>BROMOFORM</v>
          </cell>
          <cell r="B27" t="str">
            <v>75-25-2</v>
          </cell>
          <cell r="C27">
            <v>3.5</v>
          </cell>
          <cell r="D27">
            <v>0.1</v>
          </cell>
          <cell r="E27" t="str">
            <v>10b</v>
          </cell>
        </row>
        <row r="28">
          <cell r="A28" t="str">
            <v>BROMOMETHANE</v>
          </cell>
          <cell r="B28" t="str">
            <v>74-83-9</v>
          </cell>
          <cell r="C28">
            <v>0.55000000000000004</v>
          </cell>
          <cell r="D28">
            <v>0.5</v>
          </cell>
          <cell r="E28" t="str">
            <v>10g</v>
          </cell>
        </row>
        <row r="29">
          <cell r="A29" t="str">
            <v>CADMIUM</v>
          </cell>
          <cell r="B29" t="str">
            <v>7440-43-9</v>
          </cell>
          <cell r="C29">
            <v>4</v>
          </cell>
          <cell r="D29">
            <v>0.8</v>
          </cell>
          <cell r="E29" t="str">
            <v>10a</v>
          </cell>
        </row>
        <row r="30">
          <cell r="A30" t="str">
            <v>CARBON TETRACHLORIDE</v>
          </cell>
          <cell r="B30" t="str">
            <v>56-23-5</v>
          </cell>
          <cell r="C30">
            <v>1.5</v>
          </cell>
          <cell r="D30">
            <v>0.1</v>
          </cell>
          <cell r="E30" t="str">
            <v>10b</v>
          </cell>
        </row>
        <row r="31">
          <cell r="A31" t="str">
            <v>CHLORDANE</v>
          </cell>
          <cell r="B31" t="str">
            <v>12789-03-6</v>
          </cell>
          <cell r="C31">
            <v>1.5</v>
          </cell>
          <cell r="D31">
            <v>0.7</v>
          </cell>
          <cell r="E31" t="str">
            <v>10b</v>
          </cell>
        </row>
        <row r="32">
          <cell r="A32" t="str">
            <v>CHLOROANILINE, p-</v>
          </cell>
          <cell r="B32" t="str">
            <v>106-47-8</v>
          </cell>
          <cell r="C32">
            <v>20</v>
          </cell>
          <cell r="D32">
            <v>1.3</v>
          </cell>
          <cell r="E32" t="str">
            <v>10b</v>
          </cell>
        </row>
        <row r="33">
          <cell r="A33" t="str">
            <v>CHLOROBENZENE</v>
          </cell>
          <cell r="B33" t="str">
            <v>108-90-7</v>
          </cell>
          <cell r="C33">
            <v>0.5</v>
          </cell>
          <cell r="D33">
            <v>0.1</v>
          </cell>
          <cell r="E33" t="str">
            <v>10b</v>
          </cell>
        </row>
        <row r="34">
          <cell r="A34" t="str">
            <v>CHLOROFORM</v>
          </cell>
          <cell r="B34" t="str">
            <v>67-66-3</v>
          </cell>
          <cell r="C34">
            <v>1</v>
          </cell>
          <cell r="D34">
            <v>0.1</v>
          </cell>
          <cell r="E34" t="str">
            <v>10b</v>
          </cell>
        </row>
        <row r="35">
          <cell r="A35" t="str">
            <v>CHLOROPHENOL, 2-</v>
          </cell>
          <cell r="B35" t="str">
            <v>95-57-8</v>
          </cell>
          <cell r="C35">
            <v>10</v>
          </cell>
          <cell r="D35">
            <v>0.66</v>
          </cell>
          <cell r="E35" t="str">
            <v>10b</v>
          </cell>
        </row>
        <row r="36">
          <cell r="A36" t="str">
            <v>CHROMIUM (TOTAL)</v>
          </cell>
          <cell r="B36" t="str">
            <v>7440-47-3</v>
          </cell>
          <cell r="C36">
            <v>0.5</v>
          </cell>
          <cell r="D36">
            <v>0</v>
          </cell>
          <cell r="E36" t="str">
            <v>10b</v>
          </cell>
        </row>
        <row r="37">
          <cell r="A37" t="str">
            <v>CHROMIUM(III)</v>
          </cell>
          <cell r="B37" t="str">
            <v>16065-83-1</v>
          </cell>
          <cell r="C37">
            <v>7</v>
          </cell>
          <cell r="D37">
            <v>1.4</v>
          </cell>
          <cell r="E37" t="str">
            <v>10b</v>
          </cell>
        </row>
        <row r="38">
          <cell r="A38" t="str">
            <v>CHROMIUM(VI)</v>
          </cell>
          <cell r="B38" t="str">
            <v>18540-29-9</v>
          </cell>
          <cell r="C38">
            <v>0.5</v>
          </cell>
          <cell r="D38">
            <v>0</v>
          </cell>
          <cell r="E38" t="str">
            <v>10b</v>
          </cell>
        </row>
        <row r="39">
          <cell r="A39" t="str">
            <v>CHRYSENE</v>
          </cell>
          <cell r="B39" t="str">
            <v>218-01-9</v>
          </cell>
          <cell r="C39">
            <v>1.5</v>
          </cell>
          <cell r="D39">
            <v>0.66</v>
          </cell>
          <cell r="E39" t="str">
            <v>10b</v>
          </cell>
        </row>
        <row r="40">
          <cell r="A40" t="str">
            <v>CYANIDE</v>
          </cell>
          <cell r="B40" t="str">
            <v>57-12-5</v>
          </cell>
          <cell r="C40">
            <v>0.1</v>
          </cell>
          <cell r="D40">
            <v>1</v>
          </cell>
          <cell r="E40" t="str">
            <v>10a</v>
          </cell>
        </row>
        <row r="41">
          <cell r="A41" t="str">
            <v>DIBENZO(a,h)ANTHRACENE</v>
          </cell>
          <cell r="B41" t="str">
            <v xml:space="preserve">53-70-3 </v>
          </cell>
          <cell r="C41">
            <v>0.5</v>
          </cell>
          <cell r="D41">
            <v>0.66</v>
          </cell>
          <cell r="E41" t="str">
            <v>10b</v>
          </cell>
        </row>
        <row r="42">
          <cell r="A42" t="str">
            <v>DIBROMOCHLOROMETHANE</v>
          </cell>
          <cell r="B42" t="str">
            <v>124-48-1</v>
          </cell>
          <cell r="C42">
            <v>2</v>
          </cell>
          <cell r="D42">
            <v>5.0000000000000001E-3</v>
          </cell>
          <cell r="E42" t="str">
            <v>10b</v>
          </cell>
        </row>
        <row r="43">
          <cell r="A43" t="str">
            <v>DICHLOROBENZENE, 1,2-  (o-DCB)</v>
          </cell>
          <cell r="B43" t="str">
            <v>95-50-1</v>
          </cell>
          <cell r="C43">
            <v>5</v>
          </cell>
          <cell r="D43">
            <v>0.66</v>
          </cell>
          <cell r="E43" t="str">
            <v>10b</v>
          </cell>
        </row>
        <row r="44">
          <cell r="A44" t="str">
            <v>DICHLOROBENZENE, 1,3-  (m-DCB)</v>
          </cell>
          <cell r="B44" t="str">
            <v>541-73-1</v>
          </cell>
          <cell r="C44">
            <v>0.6</v>
          </cell>
          <cell r="D44">
            <v>0.66</v>
          </cell>
          <cell r="E44" t="str">
            <v>10b</v>
          </cell>
        </row>
        <row r="45">
          <cell r="A45" t="str">
            <v>DICHLOROBENZENE, 1,4-  (p-DCB)</v>
          </cell>
          <cell r="B45" t="str">
            <v>106-46-7</v>
          </cell>
          <cell r="C45">
            <v>0.2</v>
          </cell>
          <cell r="D45">
            <v>0.66</v>
          </cell>
          <cell r="E45" t="str">
            <v>10b</v>
          </cell>
        </row>
        <row r="46">
          <cell r="A46" t="str">
            <v>DICHLOROBENZIDINE, 3,3'-</v>
          </cell>
          <cell r="B46" t="str">
            <v>91-94-1</v>
          </cell>
          <cell r="C46">
            <v>82.5</v>
          </cell>
          <cell r="D46">
            <v>1.3</v>
          </cell>
          <cell r="E46" t="str">
            <v>10a</v>
          </cell>
        </row>
        <row r="47">
          <cell r="A47" t="str">
            <v>DICHLORODIPHENYL DICHLOROETHANE, P,P'- (DDD)</v>
          </cell>
          <cell r="B47" t="str">
            <v>72-54-8</v>
          </cell>
          <cell r="C47">
            <v>1.2500000000000001E-2</v>
          </cell>
          <cell r="D47">
            <v>7.3699999999999998E-3</v>
          </cell>
          <cell r="E47" t="str">
            <v>10a</v>
          </cell>
        </row>
        <row r="48">
          <cell r="A48" t="str">
            <v>DICHLORODIPHENYLDICHLOROETHYLENE,P,P'- (DDE)</v>
          </cell>
          <cell r="B48" t="str">
            <v>72-55-9</v>
          </cell>
          <cell r="C48">
            <v>0.05</v>
          </cell>
          <cell r="D48">
            <v>2.6800000000000001E-3</v>
          </cell>
          <cell r="E48" t="str">
            <v>10a</v>
          </cell>
        </row>
        <row r="49">
          <cell r="A49" t="str">
            <v>DICHLORODIPHENYLTRICHLOROETHANE, P,P'- (DDT)</v>
          </cell>
          <cell r="B49" t="str">
            <v>50-29-3</v>
          </cell>
          <cell r="C49">
            <v>0.3</v>
          </cell>
          <cell r="D49">
            <v>8.0399999999999985E-3</v>
          </cell>
          <cell r="E49" t="str">
            <v>10a</v>
          </cell>
        </row>
        <row r="50">
          <cell r="A50" t="str">
            <v>DICHLOROETHANE, 1,1-</v>
          </cell>
          <cell r="B50" t="str">
            <v xml:space="preserve">75-34-3 </v>
          </cell>
          <cell r="C50">
            <v>1</v>
          </cell>
          <cell r="D50">
            <v>0.1</v>
          </cell>
          <cell r="E50" t="str">
            <v>10b</v>
          </cell>
        </row>
        <row r="51">
          <cell r="A51" t="str">
            <v>DICHLOROETHANE, 1,2-</v>
          </cell>
          <cell r="B51" t="str">
            <v>107-06-2</v>
          </cell>
          <cell r="C51">
            <v>1</v>
          </cell>
          <cell r="D51">
            <v>0.1</v>
          </cell>
          <cell r="E51" t="str">
            <v>10b</v>
          </cell>
        </row>
        <row r="52">
          <cell r="A52" t="str">
            <v>DICHLOROETHYLENE, 1,1-</v>
          </cell>
          <cell r="B52" t="str">
            <v>75-35-4</v>
          </cell>
          <cell r="C52">
            <v>1</v>
          </cell>
          <cell r="D52">
            <v>0.1</v>
          </cell>
          <cell r="E52" t="str">
            <v>10b</v>
          </cell>
        </row>
        <row r="53">
          <cell r="A53" t="str">
            <v>DICHLOROETHYLENE, CIS-1,2-</v>
          </cell>
          <cell r="B53" t="str">
            <v>156-59-2</v>
          </cell>
          <cell r="C53">
            <v>0.6</v>
          </cell>
          <cell r="D53">
            <v>0.1</v>
          </cell>
          <cell r="E53" t="str">
            <v>10b</v>
          </cell>
        </row>
        <row r="54">
          <cell r="A54" t="str">
            <v>DICHLOROETHYLENE, TRANS-1,2-</v>
          </cell>
          <cell r="B54" t="str">
            <v>156-60-5</v>
          </cell>
          <cell r="C54">
            <v>0.3</v>
          </cell>
          <cell r="D54">
            <v>0.1</v>
          </cell>
          <cell r="E54" t="str">
            <v>10b</v>
          </cell>
        </row>
        <row r="55">
          <cell r="A55" t="str">
            <v>DICHLOROMETHANE</v>
          </cell>
          <cell r="B55" t="str">
            <v>75-09-2</v>
          </cell>
          <cell r="C55">
            <v>5</v>
          </cell>
          <cell r="D55">
            <v>0.1</v>
          </cell>
          <cell r="E55" t="str">
            <v>10b</v>
          </cell>
        </row>
        <row r="56">
          <cell r="A56" t="str">
            <v>DICHLOROPHENOL, 2,4-</v>
          </cell>
          <cell r="B56" t="str">
            <v>120-83-2</v>
          </cell>
          <cell r="C56">
            <v>13.5</v>
          </cell>
          <cell r="D56">
            <v>0.66</v>
          </cell>
          <cell r="E56" t="str">
            <v>10a</v>
          </cell>
        </row>
        <row r="57">
          <cell r="A57" t="str">
            <v>DICHLOROPROPANE, 1,2-</v>
          </cell>
          <cell r="B57" t="str">
            <v>78-87-5</v>
          </cell>
          <cell r="C57">
            <v>1</v>
          </cell>
          <cell r="D57">
            <v>0.1</v>
          </cell>
          <cell r="E57" t="str">
            <v>10b</v>
          </cell>
        </row>
        <row r="58">
          <cell r="A58" t="str">
            <v>DICHLOROPROPENE, 1,3-</v>
          </cell>
          <cell r="B58" t="str">
            <v>542-75-6</v>
          </cell>
          <cell r="C58">
            <v>5</v>
          </cell>
          <cell r="D58">
            <v>5.0000000000000001E-3</v>
          </cell>
          <cell r="E58" t="str">
            <v>10b</v>
          </cell>
        </row>
        <row r="59">
          <cell r="A59" t="str">
            <v>DIELDRIN</v>
          </cell>
          <cell r="B59" t="str">
            <v>60-57-1</v>
          </cell>
          <cell r="C59">
            <v>0.1</v>
          </cell>
          <cell r="D59">
            <v>1.34E-3</v>
          </cell>
          <cell r="E59" t="str">
            <v>10a</v>
          </cell>
        </row>
        <row r="60">
          <cell r="A60" t="str">
            <v>DIETHYL PHTHALATE</v>
          </cell>
          <cell r="B60" t="str">
            <v>84-66-2</v>
          </cell>
          <cell r="C60">
            <v>4</v>
          </cell>
          <cell r="D60">
            <v>0.66</v>
          </cell>
          <cell r="E60" t="str">
            <v>10b</v>
          </cell>
        </row>
        <row r="61">
          <cell r="A61" t="str">
            <v>DIMETHYL PHTHALATE</v>
          </cell>
          <cell r="B61" t="str">
            <v>131-11-3</v>
          </cell>
          <cell r="C61">
            <v>1.5</v>
          </cell>
          <cell r="D61">
            <v>0.66</v>
          </cell>
          <cell r="E61" t="str">
            <v>10b</v>
          </cell>
        </row>
        <row r="62">
          <cell r="A62" t="str">
            <v>DIMETHYLPHENOL, 2,4-</v>
          </cell>
          <cell r="B62" t="str">
            <v>105-67-9</v>
          </cell>
          <cell r="C62">
            <v>13.5</v>
          </cell>
          <cell r="D62">
            <v>0.66</v>
          </cell>
          <cell r="E62" t="str">
            <v>10a</v>
          </cell>
        </row>
        <row r="63">
          <cell r="A63" t="str">
            <v>DINITROPHENOL, 2,4-</v>
          </cell>
          <cell r="B63" t="str">
            <v>51-28-5</v>
          </cell>
          <cell r="C63">
            <v>210</v>
          </cell>
          <cell r="D63">
            <v>3.3</v>
          </cell>
          <cell r="E63" t="str">
            <v>10a</v>
          </cell>
        </row>
        <row r="64">
          <cell r="A64" t="str">
            <v>DINITROTOLUENE, 2,4-</v>
          </cell>
          <cell r="B64" t="str">
            <v>121-14-2</v>
          </cell>
          <cell r="C64">
            <v>28.5</v>
          </cell>
          <cell r="D64">
            <v>0.66</v>
          </cell>
          <cell r="E64" t="str">
            <v>10a</v>
          </cell>
        </row>
        <row r="65">
          <cell r="A65" t="str">
            <v>DIOXANE, 1,4-</v>
          </cell>
          <cell r="B65" t="str">
            <v>123-91-1</v>
          </cell>
          <cell r="C65">
            <v>0.04</v>
          </cell>
          <cell r="D65">
            <v>0.15</v>
          </cell>
          <cell r="E65" t="str">
            <v>10e</v>
          </cell>
        </row>
        <row r="66">
          <cell r="A66" t="str">
            <v>ENDOSULFAN</v>
          </cell>
          <cell r="B66" t="str">
            <v>115-29-7</v>
          </cell>
          <cell r="C66">
            <v>0.12</v>
          </cell>
          <cell r="D66">
            <v>9.3800000000000012E-3</v>
          </cell>
          <cell r="E66" t="str">
            <v>10a</v>
          </cell>
        </row>
        <row r="67">
          <cell r="A67" t="str">
            <v>ENDRIN</v>
          </cell>
          <cell r="B67" t="str">
            <v>72-20-8</v>
          </cell>
          <cell r="C67">
            <v>5</v>
          </cell>
          <cell r="D67">
            <v>4.0199999999999993E-3</v>
          </cell>
          <cell r="E67" t="str">
            <v>10b</v>
          </cell>
        </row>
        <row r="68">
          <cell r="A68" t="str">
            <v>ETHYLBENZENE</v>
          </cell>
          <cell r="B68" t="str">
            <v>100-41-4</v>
          </cell>
          <cell r="C68">
            <v>0.3</v>
          </cell>
          <cell r="D68">
            <v>0.1</v>
          </cell>
          <cell r="E68" t="str">
            <v>10b</v>
          </cell>
        </row>
        <row r="69">
          <cell r="A69" t="str">
            <v>ETHYLENE DIBROMIDE</v>
          </cell>
          <cell r="B69" t="str">
            <v>106-93-4</v>
          </cell>
          <cell r="C69">
            <v>0.3</v>
          </cell>
          <cell r="D69">
            <v>0.1</v>
          </cell>
          <cell r="E69" t="str">
            <v>10b</v>
          </cell>
        </row>
        <row r="70">
          <cell r="A70" t="str">
            <v>FLUORANTHENE</v>
          </cell>
          <cell r="B70" t="str">
            <v>206-44-0</v>
          </cell>
          <cell r="C70">
            <v>11</v>
          </cell>
          <cell r="D70">
            <v>0.66</v>
          </cell>
          <cell r="E70" t="str">
            <v>10a</v>
          </cell>
        </row>
        <row r="71">
          <cell r="A71" t="str">
            <v>FLUORENE</v>
          </cell>
          <cell r="B71" t="str">
            <v>86-73-7</v>
          </cell>
          <cell r="C71">
            <v>1</v>
          </cell>
          <cell r="D71">
            <v>0.66</v>
          </cell>
          <cell r="E71" t="str">
            <v>10b</v>
          </cell>
        </row>
        <row r="72">
          <cell r="A72" t="str">
            <v>HEPTACHLOR</v>
          </cell>
          <cell r="B72" t="str">
            <v>76-44-8</v>
          </cell>
          <cell r="C72">
            <v>1</v>
          </cell>
          <cell r="D72">
            <v>2.0099999999999996E-3</v>
          </cell>
          <cell r="E72" t="str">
            <v>10b</v>
          </cell>
        </row>
        <row r="73">
          <cell r="A73" t="str">
            <v>HEPTACHLOR EPOXIDE</v>
          </cell>
          <cell r="B73" t="str">
            <v>1024-57-3</v>
          </cell>
          <cell r="C73">
            <v>1.5</v>
          </cell>
          <cell r="D73">
            <v>5.561E-2</v>
          </cell>
          <cell r="E73" t="str">
            <v>10b</v>
          </cell>
        </row>
        <row r="74">
          <cell r="A74" t="str">
            <v>HEXACHLOROBENZENE</v>
          </cell>
          <cell r="B74" t="str">
            <v>118-74-1</v>
          </cell>
          <cell r="C74">
            <v>1</v>
          </cell>
          <cell r="D74">
            <v>0.66</v>
          </cell>
          <cell r="E74" t="str">
            <v>10b</v>
          </cell>
        </row>
        <row r="75">
          <cell r="A75" t="str">
            <v>HEXACHLOROBUTADIENE</v>
          </cell>
          <cell r="B75" t="str">
            <v>87-68-3</v>
          </cell>
          <cell r="C75">
            <v>0.55000000000000004</v>
          </cell>
          <cell r="D75">
            <v>0.66</v>
          </cell>
          <cell r="E75" t="str">
            <v>10b</v>
          </cell>
        </row>
        <row r="76">
          <cell r="A76" t="str">
            <v>HEXACHLOROCYCLOHEXANE, GAMMA (gamma-HCH)</v>
          </cell>
          <cell r="B76" t="str">
            <v>58-89-9</v>
          </cell>
          <cell r="C76">
            <v>0.5</v>
          </cell>
          <cell r="D76">
            <v>2.6800000000000001E-3</v>
          </cell>
          <cell r="E76" t="str">
            <v>10b</v>
          </cell>
        </row>
        <row r="77">
          <cell r="A77" t="str">
            <v>HEXACHLOROETHANE</v>
          </cell>
          <cell r="B77" t="str">
            <v>67-72-1</v>
          </cell>
          <cell r="C77">
            <v>8</v>
          </cell>
          <cell r="D77">
            <v>0.66</v>
          </cell>
          <cell r="E77" t="str">
            <v>10a</v>
          </cell>
        </row>
        <row r="78">
          <cell r="A78" t="str">
            <v>HMX</v>
          </cell>
          <cell r="B78" t="str">
            <v>2691-41-0</v>
          </cell>
          <cell r="C78">
            <v>13</v>
          </cell>
          <cell r="D78">
            <v>2.2000000000000002</v>
          </cell>
        </row>
        <row r="79">
          <cell r="A79" t="str">
            <v>INDENO(1,2,3-cd)PYRENE</v>
          </cell>
          <cell r="B79" t="str">
            <v>193-39-5</v>
          </cell>
          <cell r="C79">
            <v>0.5</v>
          </cell>
          <cell r="D79">
            <v>0.66</v>
          </cell>
          <cell r="E79" t="str">
            <v>10b</v>
          </cell>
        </row>
        <row r="80">
          <cell r="A80" t="str">
            <v>LEAD</v>
          </cell>
          <cell r="B80" t="str">
            <v>7439-92-1</v>
          </cell>
          <cell r="C80">
            <v>1</v>
          </cell>
          <cell r="D80">
            <v>8.4</v>
          </cell>
          <cell r="E80" t="str">
            <v>10a</v>
          </cell>
        </row>
        <row r="81">
          <cell r="A81" t="str">
            <v>MERCURY</v>
          </cell>
          <cell r="B81" t="str">
            <v>7439-97-6</v>
          </cell>
          <cell r="C81">
            <v>0.2</v>
          </cell>
          <cell r="D81">
            <v>0.1</v>
          </cell>
          <cell r="E81" t="str">
            <v>10b</v>
          </cell>
        </row>
        <row r="82">
          <cell r="A82" t="str">
            <v>METHOXYCHLOR</v>
          </cell>
          <cell r="B82" t="str">
            <v>72-43-5</v>
          </cell>
          <cell r="C82">
            <v>1.5</v>
          </cell>
          <cell r="D82">
            <v>0.11792</v>
          </cell>
          <cell r="E82" t="str">
            <v>10b</v>
          </cell>
        </row>
        <row r="83">
          <cell r="A83" t="str">
            <v>METHYL ETHYL KETONE</v>
          </cell>
          <cell r="B83" t="str">
            <v>78-93-3</v>
          </cell>
          <cell r="C83">
            <v>100</v>
          </cell>
          <cell r="D83">
            <v>0.1</v>
          </cell>
          <cell r="E83" t="str">
            <v>10b</v>
          </cell>
        </row>
        <row r="84">
          <cell r="A84" t="str">
            <v>METHYL ISOBUTYL KETONE</v>
          </cell>
          <cell r="B84" t="str">
            <v>108-10-1</v>
          </cell>
          <cell r="C84">
            <v>50</v>
          </cell>
          <cell r="D84">
            <v>0.05</v>
          </cell>
          <cell r="E84" t="str">
            <v>10b</v>
          </cell>
        </row>
        <row r="85">
          <cell r="A85" t="str">
            <v>METHYL MERCURY</v>
          </cell>
          <cell r="B85" t="str">
            <v>22967-92-6</v>
          </cell>
          <cell r="D85">
            <v>0</v>
          </cell>
        </row>
        <row r="86">
          <cell r="A86" t="str">
            <v>METHYL TERT BUTYL ETHER</v>
          </cell>
          <cell r="B86" t="str">
            <v>1634-04-4</v>
          </cell>
          <cell r="C86">
            <v>0.5</v>
          </cell>
          <cell r="D86">
            <v>0.1</v>
          </cell>
          <cell r="E86" t="str">
            <v>10b</v>
          </cell>
        </row>
        <row r="87">
          <cell r="A87" t="str">
            <v>METHYLNAPHTHALENE, 2-</v>
          </cell>
          <cell r="B87" t="str">
            <v>91-57-6</v>
          </cell>
          <cell r="C87">
            <v>10</v>
          </cell>
          <cell r="D87">
            <v>0.66</v>
          </cell>
          <cell r="E87" t="str">
            <v>10b</v>
          </cell>
        </row>
        <row r="88">
          <cell r="A88" t="str">
            <v>NAPHTHALENE</v>
          </cell>
          <cell r="B88" t="str">
            <v>91-20-3</v>
          </cell>
          <cell r="C88">
            <v>0.2</v>
          </cell>
          <cell r="D88">
            <v>0.66</v>
          </cell>
          <cell r="E88" t="str">
            <v>10b</v>
          </cell>
        </row>
        <row r="89">
          <cell r="A89" t="str">
            <v>NICKEL</v>
          </cell>
          <cell r="B89" t="str">
            <v>7440-02-0</v>
          </cell>
          <cell r="C89">
            <v>15</v>
          </cell>
          <cell r="D89">
            <v>3</v>
          </cell>
          <cell r="E89" t="str">
            <v>10a</v>
          </cell>
        </row>
        <row r="90">
          <cell r="A90" t="str">
            <v>PENTACHLOROPHENOL</v>
          </cell>
          <cell r="B90" t="str">
            <v>87-86-5</v>
          </cell>
          <cell r="C90">
            <v>15</v>
          </cell>
          <cell r="D90">
            <v>3.3</v>
          </cell>
          <cell r="E90" t="str">
            <v>10b</v>
          </cell>
        </row>
        <row r="91">
          <cell r="A91" t="str">
            <v>PERCHLORATE</v>
          </cell>
          <cell r="B91" t="str">
            <v>NA</v>
          </cell>
          <cell r="C91">
            <v>1</v>
          </cell>
          <cell r="D91">
            <v>0.1</v>
          </cell>
          <cell r="E91" t="str">
            <v>10f</v>
          </cell>
        </row>
        <row r="92">
          <cell r="A92" t="str">
            <v>PER- AND POLYFLUORALKYL SUBSTANCES (PFAS)</v>
          </cell>
          <cell r="B92" t="str">
            <v>NA</v>
          </cell>
          <cell r="D92">
            <v>2.0000000000000001E-4</v>
          </cell>
          <cell r="E92" t="str">
            <v>10h</v>
          </cell>
        </row>
        <row r="93">
          <cell r="A93" t="str">
            <v>PERFLUORODECANOIC ACID (PFDA)</v>
          </cell>
          <cell r="B93" t="str">
            <v>335-76-2</v>
          </cell>
          <cell r="D93">
            <v>2.0000000000000001E-4</v>
          </cell>
          <cell r="E93" t="str">
            <v>10h</v>
          </cell>
        </row>
        <row r="94">
          <cell r="A94" t="str">
            <v>PERFLUOROHEPTANOIC ACID (PFHpA)</v>
          </cell>
          <cell r="B94" t="str">
            <v>375-85-9</v>
          </cell>
          <cell r="D94">
            <v>2.0000000000000001E-4</v>
          </cell>
          <cell r="E94" t="str">
            <v>10h</v>
          </cell>
        </row>
        <row r="95">
          <cell r="A95" t="str">
            <v>PERFLUOROHEXANESULFONIC ACID (PFHxS)</v>
          </cell>
          <cell r="B95" t="str">
            <v>335-46-4</v>
          </cell>
          <cell r="D95">
            <v>2.0000000000000001E-4</v>
          </cell>
          <cell r="E95" t="str">
            <v>10h</v>
          </cell>
        </row>
        <row r="96">
          <cell r="A96" t="str">
            <v>PERFLUOROOCTANOIC ACID (PFOA)</v>
          </cell>
          <cell r="B96" t="str">
            <v>335-67-1</v>
          </cell>
          <cell r="D96">
            <v>2.0000000000000001E-4</v>
          </cell>
          <cell r="E96" t="str">
            <v>10h</v>
          </cell>
        </row>
        <row r="97">
          <cell r="A97" t="str">
            <v>PERFLUOROOCTANESULFONIC ACID (PFOS)</v>
          </cell>
          <cell r="B97" t="str">
            <v>1763-23-1</v>
          </cell>
          <cell r="D97">
            <v>2.0000000000000001E-4</v>
          </cell>
          <cell r="E97" t="str">
            <v>10h</v>
          </cell>
        </row>
        <row r="98">
          <cell r="A98" t="str">
            <v>PERFLUORONONANOIC ACID (PFNA)</v>
          </cell>
          <cell r="B98" t="str">
            <v>375-95-1</v>
          </cell>
          <cell r="D98">
            <v>2.0000000000000001E-4</v>
          </cell>
          <cell r="E98" t="str">
            <v>10h</v>
          </cell>
        </row>
        <row r="99">
          <cell r="A99" t="str">
            <v>PETROLEUM HYDROCARBONS</v>
          </cell>
          <cell r="B99" t="str">
            <v>NA</v>
          </cell>
        </row>
        <row r="100">
          <cell r="A100" t="str">
            <v>PETROLEUM HYDROCARBONS Aliphatics C5 to C8</v>
          </cell>
          <cell r="B100" t="str">
            <v>NA</v>
          </cell>
        </row>
        <row r="101">
          <cell r="A101" t="str">
            <v>PETROLEUM HYDROCARBONS Aliphatics C9 to C12</v>
          </cell>
          <cell r="B101" t="str">
            <v>NA</v>
          </cell>
        </row>
        <row r="102">
          <cell r="A102" t="str">
            <v>PETROLEUM HYDROCARBONS Aliphatics C9 to C18</v>
          </cell>
          <cell r="B102" t="str">
            <v>NA</v>
          </cell>
        </row>
        <row r="103">
          <cell r="A103" t="str">
            <v>PETROLEUM HYDROCARBONS Aliphatics C19 to C36</v>
          </cell>
          <cell r="B103" t="str">
            <v>NA</v>
          </cell>
        </row>
        <row r="104">
          <cell r="A104" t="str">
            <v>PETROLEUM HYDROCARBONS Aromatics C9 to C10</v>
          </cell>
          <cell r="B104" t="str">
            <v>NA</v>
          </cell>
        </row>
        <row r="105">
          <cell r="A105" t="str">
            <v>PETROLEUM HYDROCARBONS Aromatics C11 to C22</v>
          </cell>
          <cell r="B105" t="str">
            <v>NA</v>
          </cell>
        </row>
        <row r="106">
          <cell r="A106" t="str">
            <v>PHENANTHRENE</v>
          </cell>
          <cell r="B106" t="str">
            <v>85-01-8</v>
          </cell>
          <cell r="C106">
            <v>1</v>
          </cell>
          <cell r="D106">
            <v>0.66</v>
          </cell>
          <cell r="E106" t="str">
            <v>10b</v>
          </cell>
        </row>
        <row r="107">
          <cell r="A107" t="str">
            <v>PHENOL</v>
          </cell>
          <cell r="B107" t="str">
            <v>108-95-2</v>
          </cell>
          <cell r="C107">
            <v>10</v>
          </cell>
          <cell r="D107">
            <v>0.66</v>
          </cell>
          <cell r="E107" t="str">
            <v>10b</v>
          </cell>
        </row>
        <row r="108">
          <cell r="A108" t="str">
            <v>POLYCHLORINATED BIPHENYLS (PCBs)</v>
          </cell>
          <cell r="B108" t="str">
            <v>1336-36-3</v>
          </cell>
          <cell r="C108">
            <v>0.32500000000000001</v>
          </cell>
          <cell r="D108">
            <v>4.3549999999999998E-2</v>
          </cell>
          <cell r="E108" t="str">
            <v>10b</v>
          </cell>
        </row>
        <row r="109">
          <cell r="A109" t="str">
            <v>PYRENE</v>
          </cell>
          <cell r="B109" t="str">
            <v>129-00-0</v>
          </cell>
          <cell r="C109">
            <v>0.5</v>
          </cell>
          <cell r="D109">
            <v>0.66</v>
          </cell>
          <cell r="E109" t="str">
            <v>10b</v>
          </cell>
        </row>
        <row r="110">
          <cell r="A110" t="str">
            <v>RDX</v>
          </cell>
          <cell r="B110" t="str">
            <v>121-82-4</v>
          </cell>
          <cell r="C110">
            <v>0.84</v>
          </cell>
          <cell r="D110">
            <v>1</v>
          </cell>
        </row>
        <row r="111">
          <cell r="A111" t="str">
            <v>SELENIUM</v>
          </cell>
          <cell r="B111" t="str">
            <v>7782-49-2</v>
          </cell>
          <cell r="C111">
            <v>50</v>
          </cell>
          <cell r="D111">
            <v>15</v>
          </cell>
          <cell r="E111" t="str">
            <v>10a</v>
          </cell>
        </row>
        <row r="112">
          <cell r="A112" t="str">
            <v>SILVER</v>
          </cell>
          <cell r="B112" t="str">
            <v>7440-22-4</v>
          </cell>
          <cell r="C112">
            <v>7</v>
          </cell>
          <cell r="D112">
            <v>1.4</v>
          </cell>
          <cell r="E112" t="str">
            <v>10a</v>
          </cell>
        </row>
        <row r="113">
          <cell r="A113" t="str">
            <v>STYRENE</v>
          </cell>
          <cell r="B113" t="str">
            <v>100-42-5</v>
          </cell>
          <cell r="C113">
            <v>0.3</v>
          </cell>
          <cell r="D113">
            <v>0.1</v>
          </cell>
          <cell r="E113" t="str">
            <v>10b</v>
          </cell>
        </row>
        <row r="114">
          <cell r="A114" t="str">
            <v>TCDD, 2,3,7,8-  (equivalents)</v>
          </cell>
          <cell r="B114" t="str">
            <v>1746-01-6</v>
          </cell>
          <cell r="C114">
            <v>1.0000000000000001E-5</v>
          </cell>
          <cell r="D114">
            <v>9.9999999999999995E-7</v>
          </cell>
          <cell r="E114" t="str">
            <v>10c</v>
          </cell>
        </row>
        <row r="115">
          <cell r="A115" t="str">
            <v>TETRACHLOROETHANE, 1,1,1,2-</v>
          </cell>
          <cell r="B115" t="str">
            <v>630-20-6</v>
          </cell>
          <cell r="C115">
            <v>5</v>
          </cell>
          <cell r="D115">
            <v>0.1</v>
          </cell>
          <cell r="E115" t="str">
            <v>10b</v>
          </cell>
        </row>
        <row r="116">
          <cell r="A116" t="str">
            <v>TETRACHLOROETHANE, 1,1,2,2-</v>
          </cell>
          <cell r="B116" t="str">
            <v>79-34-5</v>
          </cell>
          <cell r="C116">
            <v>2</v>
          </cell>
          <cell r="D116">
            <v>5.0000000000000001E-3</v>
          </cell>
          <cell r="E116" t="str">
            <v>10b</v>
          </cell>
        </row>
        <row r="117">
          <cell r="A117" t="str">
            <v>TETRACHLOROETHYLENE</v>
          </cell>
          <cell r="B117" t="str">
            <v>127-18-4</v>
          </cell>
          <cell r="C117">
            <v>1.5</v>
          </cell>
          <cell r="D117">
            <v>0.1</v>
          </cell>
          <cell r="E117" t="str">
            <v>10b</v>
          </cell>
        </row>
        <row r="118">
          <cell r="A118" t="str">
            <v>THALLIUM</v>
          </cell>
          <cell r="B118" t="str">
            <v>7440-28-0</v>
          </cell>
          <cell r="C118">
            <v>40</v>
          </cell>
          <cell r="D118">
            <v>8</v>
          </cell>
          <cell r="E118" t="str">
            <v>10a</v>
          </cell>
        </row>
        <row r="119">
          <cell r="A119" t="str">
            <v>TOLUENE</v>
          </cell>
          <cell r="B119" t="str">
            <v>108-88-3</v>
          </cell>
          <cell r="C119">
            <v>0.5</v>
          </cell>
          <cell r="D119">
            <v>0.1</v>
          </cell>
          <cell r="E119" t="str">
            <v>10b</v>
          </cell>
        </row>
        <row r="120">
          <cell r="A120" t="str">
            <v>TRICHLOROBENZENE, 1,2,4-</v>
          </cell>
          <cell r="B120" t="str">
            <v>120-82-1</v>
          </cell>
          <cell r="C120">
            <v>1</v>
          </cell>
          <cell r="D120">
            <v>0.1</v>
          </cell>
          <cell r="E120" t="str">
            <v>10b</v>
          </cell>
        </row>
        <row r="121">
          <cell r="A121" t="str">
            <v>TRICHLOROETHANE, 1,1,1-</v>
          </cell>
          <cell r="B121" t="str">
            <v>71-55-6</v>
          </cell>
          <cell r="C121">
            <v>1.5</v>
          </cell>
          <cell r="D121">
            <v>0.1</v>
          </cell>
          <cell r="E121" t="str">
            <v>10b</v>
          </cell>
        </row>
        <row r="122">
          <cell r="A122" t="str">
            <v>TRICHLOROETHANE, 1,1,2-</v>
          </cell>
          <cell r="B122" t="str">
            <v xml:space="preserve">79-00-5 </v>
          </cell>
          <cell r="C122">
            <v>0.5</v>
          </cell>
          <cell r="D122">
            <v>0.1</v>
          </cell>
          <cell r="E122" t="str">
            <v>10b</v>
          </cell>
        </row>
        <row r="123">
          <cell r="A123" t="str">
            <v>TRICHLOROETHYLENE</v>
          </cell>
          <cell r="B123" t="str">
            <v>79-01-6</v>
          </cell>
          <cell r="C123">
            <v>2</v>
          </cell>
          <cell r="D123">
            <v>5.0000000000000001E-3</v>
          </cell>
          <cell r="E123" t="str">
            <v>10b</v>
          </cell>
        </row>
        <row r="124">
          <cell r="A124" t="str">
            <v>TRICHLOROPHENOL, 2,4,5-</v>
          </cell>
          <cell r="B124" t="str">
            <v>95-95-4</v>
          </cell>
          <cell r="C124">
            <v>10</v>
          </cell>
          <cell r="D124">
            <v>0.66</v>
          </cell>
          <cell r="E124" t="str">
            <v>10b</v>
          </cell>
        </row>
        <row r="125">
          <cell r="A125" t="str">
            <v>TRICHLOROPHENOL 2,4,6-</v>
          </cell>
          <cell r="B125" t="str">
            <v>88-06-2</v>
          </cell>
          <cell r="C125">
            <v>10</v>
          </cell>
          <cell r="D125">
            <v>0.66</v>
          </cell>
          <cell r="E125" t="str">
            <v>10b</v>
          </cell>
        </row>
      </sheetData>
      <sheetData sheetId="4">
        <row r="2">
          <cell r="B2" t="str">
            <v>Body Weight Calculations:</v>
          </cell>
          <cell r="M2" t="str">
            <v>NHANES</v>
          </cell>
          <cell r="N2" t="str">
            <v>Weight</v>
          </cell>
        </row>
        <row r="3">
          <cell r="M3" t="str">
            <v xml:space="preserve"> age</v>
          </cell>
          <cell r="N3" t="str">
            <v>kg</v>
          </cell>
        </row>
        <row r="4">
          <cell r="B4" t="str">
            <v>Age (years)</v>
          </cell>
          <cell r="C4" t="str">
            <v>50th Percentile</v>
          </cell>
          <cell r="M4" t="str">
            <v>0-2m</v>
          </cell>
          <cell r="N4">
            <v>4.9000000000000004</v>
          </cell>
        </row>
        <row r="5">
          <cell r="C5" t="str">
            <v>Body Weight</v>
          </cell>
          <cell r="M5" t="str">
            <v>3-5m</v>
          </cell>
          <cell r="N5">
            <v>6.6</v>
          </cell>
        </row>
        <row r="6">
          <cell r="C6" t="str">
            <v>Females</v>
          </cell>
          <cell r="D6" t="str">
            <v>number of</v>
          </cell>
          <cell r="M6" t="str">
            <v>6-8m</v>
          </cell>
          <cell r="N6">
            <v>8</v>
          </cell>
        </row>
        <row r="7">
          <cell r="C7" t="str">
            <v>kg</v>
          </cell>
          <cell r="D7" t="str">
            <v>years</v>
          </cell>
          <cell r="M7" t="str">
            <v>9-11m</v>
          </cell>
          <cell r="N7">
            <v>9</v>
          </cell>
        </row>
        <row r="8">
          <cell r="B8" t="str">
            <v>0&lt;1</v>
          </cell>
          <cell r="C8">
            <v>7.125</v>
          </cell>
          <cell r="D8">
            <v>1</v>
          </cell>
          <cell r="M8" t="str">
            <v>1 yr</v>
          </cell>
          <cell r="N8">
            <v>10.9</v>
          </cell>
        </row>
        <row r="9">
          <cell r="B9" t="str">
            <v>1&lt;2</v>
          </cell>
          <cell r="C9">
            <v>12</v>
          </cell>
          <cell r="D9">
            <v>1</v>
          </cell>
          <cell r="H9" t="str">
            <v>Mutagen Averages</v>
          </cell>
          <cell r="M9">
            <v>2</v>
          </cell>
          <cell r="N9">
            <v>13.1</v>
          </cell>
        </row>
        <row r="10">
          <cell r="B10" t="str">
            <v>2&lt;3</v>
          </cell>
          <cell r="C10">
            <v>14.3</v>
          </cell>
          <cell r="D10">
            <v>1</v>
          </cell>
          <cell r="H10" t="str">
            <v>Age</v>
          </cell>
          <cell r="M10">
            <v>3</v>
          </cell>
          <cell r="N10">
            <v>15.5</v>
          </cell>
        </row>
        <row r="11">
          <cell r="B11" t="str">
            <v>3&lt;4</v>
          </cell>
          <cell r="C11">
            <v>16.5</v>
          </cell>
          <cell r="D11">
            <v>1</v>
          </cell>
          <cell r="H11" t="str">
            <v>0&lt;2:</v>
          </cell>
          <cell r="I11">
            <v>9.5625</v>
          </cell>
          <cell r="J11" t="str">
            <v>kg</v>
          </cell>
          <cell r="M11">
            <v>4</v>
          </cell>
          <cell r="N11">
            <v>17.5</v>
          </cell>
        </row>
        <row r="12">
          <cell r="B12" t="str">
            <v>4&lt;5</v>
          </cell>
          <cell r="C12">
            <v>18.55</v>
          </cell>
          <cell r="D12">
            <v>1</v>
          </cell>
          <cell r="E12" t="str">
            <v>GW Average</v>
          </cell>
          <cell r="M12">
            <v>5</v>
          </cell>
          <cell r="N12">
            <v>19.600000000000001</v>
          </cell>
        </row>
        <row r="13">
          <cell r="B13" t="str">
            <v>5&lt;6</v>
          </cell>
          <cell r="C13">
            <v>20.85</v>
          </cell>
          <cell r="D13">
            <v>1</v>
          </cell>
          <cell r="E13" t="str">
            <v>0&lt;7:</v>
          </cell>
          <cell r="F13">
            <v>16.175000000000001</v>
          </cell>
          <cell r="G13" t="str">
            <v>kg</v>
          </cell>
          <cell r="M13">
            <v>6</v>
          </cell>
          <cell r="N13">
            <v>22.1</v>
          </cell>
        </row>
        <row r="14">
          <cell r="B14" t="str">
            <v>6&lt;7</v>
          </cell>
          <cell r="C14">
            <v>23.9</v>
          </cell>
          <cell r="D14">
            <v>1</v>
          </cell>
          <cell r="E14" t="str">
            <v>Soil Average</v>
          </cell>
          <cell r="H14" t="str">
            <v>2&lt;6:</v>
          </cell>
          <cell r="I14">
            <v>17.55</v>
          </cell>
          <cell r="J14" t="str">
            <v>kg</v>
          </cell>
          <cell r="M14">
            <v>7</v>
          </cell>
          <cell r="N14">
            <v>25.7</v>
          </cell>
          <cell r="P14" t="str">
            <v>Age 1-6</v>
          </cell>
        </row>
        <row r="15">
          <cell r="B15" t="str">
            <v>7&lt;8</v>
          </cell>
          <cell r="C15">
            <v>26.95</v>
          </cell>
          <cell r="D15">
            <v>1</v>
          </cell>
          <cell r="E15" t="str">
            <v>1&lt;8:</v>
          </cell>
          <cell r="F15">
            <v>19.007142857142856</v>
          </cell>
          <cell r="G15" t="str">
            <v>kg</v>
          </cell>
          <cell r="M15">
            <v>8</v>
          </cell>
          <cell r="N15">
            <v>28.2</v>
          </cell>
          <cell r="P15">
            <v>16.45</v>
          </cell>
        </row>
        <row r="16">
          <cell r="B16" t="str">
            <v>8&lt;9</v>
          </cell>
          <cell r="C16">
            <v>31.1</v>
          </cell>
          <cell r="D16">
            <v>1</v>
          </cell>
          <cell r="M16">
            <v>9</v>
          </cell>
          <cell r="N16">
            <v>34</v>
          </cell>
        </row>
        <row r="17">
          <cell r="B17" t="str">
            <v>9&lt;10</v>
          </cell>
          <cell r="C17">
            <v>37.25</v>
          </cell>
          <cell r="D17">
            <v>1</v>
          </cell>
          <cell r="H17" t="str">
            <v>6&lt;16:</v>
          </cell>
          <cell r="I17">
            <v>43.204999999999998</v>
          </cell>
          <cell r="J17" t="str">
            <v>kg</v>
          </cell>
          <cell r="M17">
            <v>10</v>
          </cell>
          <cell r="N17">
            <v>40.5</v>
          </cell>
        </row>
        <row r="18">
          <cell r="B18" t="str">
            <v>10&lt;11</v>
          </cell>
          <cell r="C18">
            <v>43.9</v>
          </cell>
          <cell r="D18">
            <v>1</v>
          </cell>
          <cell r="M18">
            <v>11</v>
          </cell>
          <cell r="N18">
            <v>47.3</v>
          </cell>
        </row>
        <row r="19">
          <cell r="B19" t="str">
            <v>11&lt;12</v>
          </cell>
          <cell r="C19">
            <v>48.4</v>
          </cell>
          <cell r="D19">
            <v>1</v>
          </cell>
          <cell r="E19" t="str">
            <v>GW Average</v>
          </cell>
          <cell r="M19">
            <v>12</v>
          </cell>
          <cell r="N19">
            <v>49.5</v>
          </cell>
        </row>
        <row r="20">
          <cell r="B20" t="str">
            <v>12&lt;13</v>
          </cell>
          <cell r="C20">
            <v>51.95</v>
          </cell>
          <cell r="D20">
            <v>1</v>
          </cell>
          <cell r="E20" t="str">
            <v>7&lt;14:</v>
          </cell>
          <cell r="F20">
            <v>41.99285714285714</v>
          </cell>
          <cell r="G20" t="str">
            <v>kg</v>
          </cell>
          <cell r="M20">
            <v>13</v>
          </cell>
          <cell r="N20">
            <v>54.4</v>
          </cell>
        </row>
        <row r="21">
          <cell r="B21" t="str">
            <v>13&lt;14</v>
          </cell>
          <cell r="C21">
            <v>54.4</v>
          </cell>
          <cell r="D21">
            <v>1</v>
          </cell>
          <cell r="E21" t="str">
            <v>Soil Average</v>
          </cell>
          <cell r="M21">
            <v>14</v>
          </cell>
          <cell r="N21">
            <v>54.4</v>
          </cell>
        </row>
        <row r="22">
          <cell r="B22" t="str">
            <v>14&lt;15</v>
          </cell>
          <cell r="C22">
            <v>56</v>
          </cell>
          <cell r="D22">
            <v>1</v>
          </cell>
          <cell r="E22" t="str">
            <v>8&lt;15:</v>
          </cell>
          <cell r="F22">
            <v>46.142857142857146</v>
          </cell>
          <cell r="G22" t="str">
            <v>kg</v>
          </cell>
          <cell r="M22">
            <v>15</v>
          </cell>
          <cell r="N22">
            <v>57.6</v>
          </cell>
        </row>
        <row r="23">
          <cell r="B23" t="str">
            <v>15&lt;16</v>
          </cell>
          <cell r="C23">
            <v>58.2</v>
          </cell>
          <cell r="D23">
            <v>1</v>
          </cell>
          <cell r="M23">
            <v>16</v>
          </cell>
          <cell r="N23">
            <v>58.8</v>
          </cell>
        </row>
        <row r="24">
          <cell r="B24" t="str">
            <v>16&lt;17</v>
          </cell>
          <cell r="C24">
            <v>59.7</v>
          </cell>
          <cell r="D24">
            <v>1</v>
          </cell>
          <cell r="M24">
            <v>17</v>
          </cell>
          <cell r="N24">
            <v>60.6</v>
          </cell>
        </row>
        <row r="25">
          <cell r="B25" t="str">
            <v>17&lt;18</v>
          </cell>
          <cell r="C25">
            <v>61.8</v>
          </cell>
          <cell r="D25">
            <v>1</v>
          </cell>
          <cell r="M25">
            <v>18</v>
          </cell>
          <cell r="N25">
            <v>63</v>
          </cell>
        </row>
        <row r="26">
          <cell r="B26" t="str">
            <v>18&lt;19</v>
          </cell>
          <cell r="C26">
            <v>63</v>
          </cell>
          <cell r="D26">
            <v>1</v>
          </cell>
          <cell r="M26">
            <v>19</v>
          </cell>
          <cell r="N26">
            <v>63</v>
          </cell>
        </row>
        <row r="27">
          <cell r="B27" t="str">
            <v>19&lt;20</v>
          </cell>
          <cell r="C27">
            <v>64.150000000000006</v>
          </cell>
          <cell r="D27">
            <v>1</v>
          </cell>
          <cell r="M27" t="str">
            <v>20-29</v>
          </cell>
          <cell r="N27">
            <v>65.3</v>
          </cell>
        </row>
        <row r="28">
          <cell r="B28" t="str">
            <v>20&lt;21</v>
          </cell>
          <cell r="C28">
            <v>65.3</v>
          </cell>
          <cell r="D28">
            <v>1</v>
          </cell>
          <cell r="M28" t="str">
            <v>30-39</v>
          </cell>
          <cell r="N28">
            <v>70.2</v>
          </cell>
        </row>
        <row r="29">
          <cell r="B29" t="str">
            <v>21&lt;22</v>
          </cell>
          <cell r="C29">
            <v>65.3</v>
          </cell>
          <cell r="D29">
            <v>1</v>
          </cell>
          <cell r="M29" t="str">
            <v>40-49</v>
          </cell>
          <cell r="N29">
            <v>72.900000000000006</v>
          </cell>
        </row>
        <row r="30">
          <cell r="B30" t="str">
            <v>22&lt;23</v>
          </cell>
          <cell r="C30">
            <v>65.3</v>
          </cell>
          <cell r="D30">
            <v>1</v>
          </cell>
          <cell r="E30" t="str">
            <v>GW Average</v>
          </cell>
        </row>
        <row r="31">
          <cell r="B31" t="str">
            <v>23&lt;24</v>
          </cell>
          <cell r="C31">
            <v>65.3</v>
          </cell>
          <cell r="D31">
            <v>1</v>
          </cell>
          <cell r="E31" t="str">
            <v>17&lt;24:</v>
          </cell>
          <cell r="F31">
            <v>64.307142857142864</v>
          </cell>
          <cell r="G31" t="str">
            <v>kg</v>
          </cell>
        </row>
        <row r="32">
          <cell r="B32" t="str">
            <v>24&lt;25</v>
          </cell>
          <cell r="C32">
            <v>65.3</v>
          </cell>
          <cell r="D32">
            <v>1</v>
          </cell>
          <cell r="E32" t="str">
            <v>Soil Average</v>
          </cell>
        </row>
        <row r="33">
          <cell r="B33" t="str">
            <v>25&lt;26</v>
          </cell>
          <cell r="C33">
            <v>65.3</v>
          </cell>
          <cell r="D33">
            <v>1</v>
          </cell>
          <cell r="E33" t="str">
            <v>18&lt;25:</v>
          </cell>
          <cell r="F33">
            <v>64.807142857142864</v>
          </cell>
          <cell r="G33" t="str">
            <v>kg</v>
          </cell>
        </row>
        <row r="34">
          <cell r="B34" t="str">
            <v>26&lt;27</v>
          </cell>
          <cell r="C34">
            <v>65.3</v>
          </cell>
          <cell r="D34">
            <v>1</v>
          </cell>
        </row>
        <row r="35">
          <cell r="B35" t="str">
            <v>27&lt;28</v>
          </cell>
          <cell r="C35">
            <v>65.3</v>
          </cell>
          <cell r="D35">
            <v>1</v>
          </cell>
          <cell r="E35" t="str">
            <v>GW Average</v>
          </cell>
        </row>
        <row r="36">
          <cell r="B36" t="str">
            <v>28&lt;29</v>
          </cell>
          <cell r="C36">
            <v>65.3</v>
          </cell>
          <cell r="D36">
            <v>1</v>
          </cell>
          <cell r="E36" t="str">
            <v>14&lt;30:</v>
          </cell>
          <cell r="F36">
            <v>63.49062499999998</v>
          </cell>
          <cell r="G36" t="str">
            <v>kg</v>
          </cell>
          <cell r="R36" t="str">
            <v xml:space="preserve"> </v>
          </cell>
        </row>
        <row r="37">
          <cell r="B37" t="str">
            <v>29&lt;30</v>
          </cell>
          <cell r="C37">
            <v>65.3</v>
          </cell>
          <cell r="D37">
            <v>1</v>
          </cell>
          <cell r="E37" t="str">
            <v>Soil Average</v>
          </cell>
        </row>
        <row r="38">
          <cell r="B38" t="str">
            <v>30&lt;31</v>
          </cell>
          <cell r="C38">
            <v>70.2</v>
          </cell>
          <cell r="D38">
            <v>1</v>
          </cell>
          <cell r="E38" t="str">
            <v>15&lt;31:</v>
          </cell>
          <cell r="F38">
            <v>64.378124999999983</v>
          </cell>
          <cell r="G38" t="str">
            <v>kg</v>
          </cell>
          <cell r="H38" t="str">
            <v>16&lt;31:</v>
          </cell>
          <cell r="I38">
            <v>64.789999999999992</v>
          </cell>
          <cell r="J38" t="str">
            <v>kg</v>
          </cell>
        </row>
        <row r="39">
          <cell r="B39" t="str">
            <v>31&lt;32</v>
          </cell>
          <cell r="C39">
            <v>70.2</v>
          </cell>
          <cell r="D39">
            <v>1</v>
          </cell>
        </row>
        <row r="40">
          <cell r="B40" t="str">
            <v>32&lt;33</v>
          </cell>
          <cell r="C40">
            <v>70.2</v>
          </cell>
          <cell r="D40">
            <v>1</v>
          </cell>
        </row>
        <row r="41">
          <cell r="B41" t="str">
            <v>33&lt;34</v>
          </cell>
          <cell r="C41">
            <v>70.2</v>
          </cell>
          <cell r="D41">
            <v>1</v>
          </cell>
        </row>
        <row r="42">
          <cell r="B42" t="str">
            <v>34&lt;35</v>
          </cell>
          <cell r="C42">
            <v>70.2</v>
          </cell>
          <cell r="D42">
            <v>1</v>
          </cell>
        </row>
        <row r="43">
          <cell r="B43" t="str">
            <v>35&lt;36</v>
          </cell>
          <cell r="C43">
            <v>70.2</v>
          </cell>
          <cell r="D43">
            <v>1</v>
          </cell>
        </row>
        <row r="44">
          <cell r="B44" t="str">
            <v>36&lt;37</v>
          </cell>
          <cell r="C44">
            <v>70.2</v>
          </cell>
          <cell r="D44">
            <v>1</v>
          </cell>
        </row>
        <row r="45">
          <cell r="B45" t="str">
            <v>37&lt;38</v>
          </cell>
          <cell r="C45">
            <v>70.2</v>
          </cell>
          <cell r="D45">
            <v>1</v>
          </cell>
        </row>
        <row r="46">
          <cell r="B46" t="str">
            <v>38&lt;39</v>
          </cell>
          <cell r="C46">
            <v>70.2</v>
          </cell>
          <cell r="D46">
            <v>1</v>
          </cell>
        </row>
        <row r="47">
          <cell r="B47" t="str">
            <v>39&lt;40</v>
          </cell>
          <cell r="C47">
            <v>70.2</v>
          </cell>
          <cell r="D47">
            <v>1</v>
          </cell>
        </row>
        <row r="48">
          <cell r="B48" t="str">
            <v>40&lt;41</v>
          </cell>
          <cell r="C48">
            <v>72.900000000000006</v>
          </cell>
          <cell r="D48">
            <v>1</v>
          </cell>
        </row>
        <row r="49">
          <cell r="B49" t="str">
            <v>41&lt;42</v>
          </cell>
          <cell r="C49">
            <v>72.900000000000006</v>
          </cell>
          <cell r="D49">
            <v>1</v>
          </cell>
        </row>
        <row r="50">
          <cell r="B50" t="str">
            <v>42&lt;43</v>
          </cell>
          <cell r="C50">
            <v>72.900000000000006</v>
          </cell>
          <cell r="D50">
            <v>1</v>
          </cell>
        </row>
        <row r="51">
          <cell r="B51" t="str">
            <v>43&lt;44</v>
          </cell>
          <cell r="C51">
            <v>72.900000000000006</v>
          </cell>
          <cell r="D51">
            <v>1</v>
          </cell>
          <cell r="E51" t="str">
            <v>Average</v>
          </cell>
        </row>
        <row r="52">
          <cell r="B52" t="str">
            <v>44&lt;45</v>
          </cell>
          <cell r="C52">
            <v>72.900000000000006</v>
          </cell>
          <cell r="D52">
            <v>1</v>
          </cell>
          <cell r="E52" t="str">
            <v>18&lt;45:</v>
          </cell>
          <cell r="F52">
            <v>68.394444444444474</v>
          </cell>
          <cell r="G52" t="str">
            <v>kg</v>
          </cell>
        </row>
      </sheetData>
      <sheetData sheetId="5">
        <row r="2">
          <cell r="A2" t="str">
            <v>For Soil Exposures</v>
          </cell>
          <cell r="E2" t="str">
            <v xml:space="preserve"> </v>
          </cell>
        </row>
        <row r="3">
          <cell r="B3" t="str">
            <v>AGE</v>
          </cell>
          <cell r="C3" t="str">
            <v>Total SA repr by body part (unitless)</v>
          </cell>
          <cell r="H3" t="str">
            <v>Total Body SA</v>
          </cell>
          <cell r="I3" t="str">
            <v>SA by body part (m2)</v>
          </cell>
          <cell r="N3" t="str">
            <v xml:space="preserve">Total Exposed SA </v>
          </cell>
        </row>
        <row r="4">
          <cell r="C4" t="str">
            <v>Head</v>
          </cell>
          <cell r="D4" t="str">
            <v>Forearms</v>
          </cell>
          <cell r="E4" t="str">
            <v>Hands</v>
          </cell>
          <cell r="F4" t="str">
            <v>Lower
Legs</v>
          </cell>
          <cell r="G4" t="str">
            <v>Feet</v>
          </cell>
          <cell r="H4" t="str">
            <v>m2</v>
          </cell>
          <cell r="I4" t="str">
            <v>Head</v>
          </cell>
          <cell r="J4" t="str">
            <v>Forearms</v>
          </cell>
          <cell r="K4" t="str">
            <v>Hands</v>
          </cell>
          <cell r="L4" t="str">
            <v>Lower 
Legs</v>
          </cell>
          <cell r="M4" t="str">
            <v>Feet</v>
          </cell>
          <cell r="N4" t="str">
            <v>(m2)</v>
          </cell>
          <cell r="O4" t="str">
            <v>(cm2)</v>
          </cell>
        </row>
        <row r="5">
          <cell r="A5" t="str">
            <v>EFH 2011</v>
          </cell>
          <cell r="B5" t="str">
            <v>0&lt;1</v>
          </cell>
          <cell r="C5">
            <v>0.182</v>
          </cell>
          <cell r="D5">
            <v>6.4390000000000003E-2</v>
          </cell>
          <cell r="E5">
            <v>5.2999999999999999E-2</v>
          </cell>
          <cell r="F5">
            <v>8.2400000000000001E-2</v>
          </cell>
          <cell r="G5">
            <v>6.5000000000000002E-2</v>
          </cell>
          <cell r="H5">
            <v>0.39</v>
          </cell>
          <cell r="I5">
            <v>7.0980000000000001E-2</v>
          </cell>
          <cell r="J5">
            <v>2.5112100000000002E-2</v>
          </cell>
          <cell r="K5">
            <v>2.0670000000000001E-2</v>
          </cell>
          <cell r="L5">
            <v>3.2136000000000005E-2</v>
          </cell>
          <cell r="M5">
            <v>2.5350000000000001E-2</v>
          </cell>
          <cell r="N5">
            <v>0.17424810000000002</v>
          </cell>
          <cell r="O5">
            <v>1742.4810000000002</v>
          </cell>
        </row>
        <row r="6">
          <cell r="B6" t="str">
            <v>1&lt;2</v>
          </cell>
          <cell r="C6">
            <v>0.16500000000000001</v>
          </cell>
          <cell r="D6">
            <v>6.1100000000000002E-2</v>
          </cell>
          <cell r="E6">
            <v>5.7000000000000002E-2</v>
          </cell>
          <cell r="F6">
            <v>9.240000000000001E-2</v>
          </cell>
          <cell r="G6">
            <v>6.3E-2</v>
          </cell>
          <cell r="H6">
            <v>0.52</v>
          </cell>
          <cell r="I6">
            <v>8.5800000000000001E-2</v>
          </cell>
          <cell r="J6">
            <v>3.1772000000000002E-2</v>
          </cell>
          <cell r="K6">
            <v>2.9640000000000003E-2</v>
          </cell>
          <cell r="L6">
            <v>4.8048000000000007E-2</v>
          </cell>
          <cell r="M6">
            <v>3.2760000000000004E-2</v>
          </cell>
          <cell r="N6">
            <v>0.22802000000000003</v>
          </cell>
          <cell r="O6">
            <v>2280.2000000000003</v>
          </cell>
        </row>
        <row r="7">
          <cell r="A7" t="str">
            <v>Boniol</v>
          </cell>
          <cell r="B7" t="str">
            <v>2&lt;3</v>
          </cell>
          <cell r="C7">
            <v>8.4000000000000005E-2</v>
          </cell>
          <cell r="D7">
            <v>5.6000000000000001E-2</v>
          </cell>
          <cell r="E7">
            <v>4.8000000000000001E-2</v>
          </cell>
          <cell r="F7">
            <v>0.112</v>
          </cell>
          <cell r="G7">
            <v>0.06</v>
          </cell>
          <cell r="H7">
            <v>0.59</v>
          </cell>
          <cell r="I7">
            <v>4.956E-2</v>
          </cell>
          <cell r="J7">
            <v>3.304E-2</v>
          </cell>
          <cell r="K7">
            <v>2.8319999999999998E-2</v>
          </cell>
          <cell r="L7">
            <v>6.608E-2</v>
          </cell>
          <cell r="M7">
            <v>3.5399999999999994E-2</v>
          </cell>
          <cell r="N7">
            <v>0.21239999999999998</v>
          </cell>
          <cell r="O7">
            <v>2124</v>
          </cell>
        </row>
        <row r="8">
          <cell r="B8" t="str">
            <v>3&lt;4</v>
          </cell>
          <cell r="C8">
            <v>8.4000000000000005E-2</v>
          </cell>
          <cell r="D8">
            <v>5.6000000000000001E-2</v>
          </cell>
          <cell r="E8">
            <v>4.8000000000000001E-2</v>
          </cell>
          <cell r="F8">
            <v>0.112</v>
          </cell>
          <cell r="G8">
            <v>0.06</v>
          </cell>
          <cell r="H8">
            <v>0.67515463917525786</v>
          </cell>
          <cell r="I8">
            <v>5.6712989690721666E-2</v>
          </cell>
          <cell r="J8">
            <v>3.7808659793814439E-2</v>
          </cell>
          <cell r="K8">
            <v>3.2407422680412377E-2</v>
          </cell>
          <cell r="L8">
            <v>7.5617319587628878E-2</v>
          </cell>
          <cell r="M8">
            <v>4.0509278350515474E-2</v>
          </cell>
          <cell r="N8">
            <v>0.24305567010309281</v>
          </cell>
          <cell r="O8">
            <v>2430.5567010309283</v>
          </cell>
        </row>
        <row r="9">
          <cell r="B9" t="str">
            <v>4&lt;5</v>
          </cell>
          <cell r="C9">
            <v>7.8E-2</v>
          </cell>
          <cell r="D9">
            <v>5.5E-2</v>
          </cell>
          <cell r="E9">
            <v>4.9000000000000002E-2</v>
          </cell>
          <cell r="F9">
            <v>0.104</v>
          </cell>
          <cell r="G9">
            <v>6.3E-2</v>
          </cell>
          <cell r="H9">
            <v>0.73445173383317719</v>
          </cell>
          <cell r="I9">
            <v>5.7287235238987821E-2</v>
          </cell>
          <cell r="J9">
            <v>4.0394845360824744E-2</v>
          </cell>
          <cell r="K9">
            <v>3.5988134957825685E-2</v>
          </cell>
          <cell r="L9">
            <v>7.6382980318650429E-2</v>
          </cell>
          <cell r="M9">
            <v>4.627045923149016E-2</v>
          </cell>
          <cell r="N9">
            <v>0.25632365510777883</v>
          </cell>
          <cell r="O9">
            <v>2563.2365510777881</v>
          </cell>
        </row>
        <row r="10">
          <cell r="B10" t="str">
            <v>5&lt;6</v>
          </cell>
          <cell r="C10">
            <v>7.8E-2</v>
          </cell>
          <cell r="D10">
            <v>5.5E-2</v>
          </cell>
          <cell r="E10">
            <v>4.9000000000000002E-2</v>
          </cell>
          <cell r="F10">
            <v>0.104</v>
          </cell>
          <cell r="G10">
            <v>6.3E-2</v>
          </cell>
          <cell r="H10">
            <v>0.81039362699156525</v>
          </cell>
          <cell r="I10">
            <v>6.3210702905342087E-2</v>
          </cell>
          <cell r="J10">
            <v>4.457164948453609E-2</v>
          </cell>
          <cell r="K10">
            <v>3.9709287722586702E-2</v>
          </cell>
          <cell r="L10">
            <v>8.4280937207122777E-2</v>
          </cell>
          <cell r="M10">
            <v>5.1054798500468609E-2</v>
          </cell>
          <cell r="N10">
            <v>0.28282737582005629</v>
          </cell>
          <cell r="O10">
            <v>2828.273758200563</v>
          </cell>
        </row>
        <row r="11">
          <cell r="B11" t="str">
            <v>6&lt;7</v>
          </cell>
          <cell r="C11">
            <v>6.9000000000000006E-2</v>
          </cell>
          <cell r="D11">
            <v>5.2999999999999999E-2</v>
          </cell>
          <cell r="E11">
            <v>4.9000000000000002E-2</v>
          </cell>
          <cell r="F11">
            <v>0.114</v>
          </cell>
          <cell r="G11">
            <v>6.6000000000000003E-2</v>
          </cell>
          <cell r="H11">
            <v>0.87847695390781566</v>
          </cell>
          <cell r="I11">
            <v>6.0614909819639289E-2</v>
          </cell>
          <cell r="J11">
            <v>4.6559278557114225E-2</v>
          </cell>
          <cell r="K11">
            <v>4.3045370741482972E-2</v>
          </cell>
          <cell r="L11">
            <v>0.10014637274549099</v>
          </cell>
          <cell r="M11">
            <v>5.7979478957915838E-2</v>
          </cell>
          <cell r="N11">
            <v>0.3083454108216433</v>
          </cell>
          <cell r="O11">
            <v>3083.4541082164328</v>
          </cell>
        </row>
        <row r="12">
          <cell r="B12" t="str">
            <v>7&lt;8</v>
          </cell>
          <cell r="C12">
            <v>6.9000000000000006E-2</v>
          </cell>
          <cell r="D12">
            <v>5.2999999999999999E-2</v>
          </cell>
          <cell r="E12">
            <v>4.9000000000000002E-2</v>
          </cell>
          <cell r="F12">
            <v>0.114</v>
          </cell>
          <cell r="G12">
            <v>6.6000000000000003E-2</v>
          </cell>
          <cell r="H12">
            <v>0.95559118236472951</v>
          </cell>
          <cell r="I12">
            <v>6.5935791583166342E-2</v>
          </cell>
          <cell r="J12">
            <v>5.0646332665330661E-2</v>
          </cell>
          <cell r="K12">
            <v>4.6823967935871749E-2</v>
          </cell>
          <cell r="L12">
            <v>0.10893739478957917</v>
          </cell>
          <cell r="M12">
            <v>6.306901803607215E-2</v>
          </cell>
          <cell r="N12">
            <v>0.33541250501002007</v>
          </cell>
          <cell r="O12">
            <v>3354.1250501002005</v>
          </cell>
        </row>
        <row r="13">
          <cell r="B13" t="str">
            <v>8&lt;9</v>
          </cell>
          <cell r="C13">
            <v>6.0999999999999999E-2</v>
          </cell>
          <cell r="D13">
            <v>5.5E-2</v>
          </cell>
          <cell r="E13">
            <v>4.7E-2</v>
          </cell>
          <cell r="F13">
            <v>0.113</v>
          </cell>
          <cell r="G13">
            <v>6.5000000000000002E-2</v>
          </cell>
          <cell r="H13">
            <v>1.0420841683366733</v>
          </cell>
          <cell r="I13">
            <v>6.3567134268537065E-2</v>
          </cell>
          <cell r="J13">
            <v>5.7314629258517033E-2</v>
          </cell>
          <cell r="K13">
            <v>4.8977955911823641E-2</v>
          </cell>
          <cell r="L13">
            <v>0.11775551102204408</v>
          </cell>
          <cell r="M13">
            <v>6.7735470941883771E-2</v>
          </cell>
          <cell r="N13">
            <v>0.35535070140280556</v>
          </cell>
          <cell r="O13">
            <v>3553.5070140280554</v>
          </cell>
        </row>
        <row r="14">
          <cell r="B14" t="str">
            <v>9&lt;10</v>
          </cell>
          <cell r="C14">
            <v>6.0999999999999999E-2</v>
          </cell>
          <cell r="D14">
            <v>5.5E-2</v>
          </cell>
          <cell r="E14">
            <v>4.7E-2</v>
          </cell>
          <cell r="F14">
            <v>0.113</v>
          </cell>
          <cell r="G14">
            <v>6.5000000000000002E-2</v>
          </cell>
          <cell r="H14">
            <v>1.1046092184368739</v>
          </cell>
          <cell r="I14">
            <v>6.7381162324649302E-2</v>
          </cell>
          <cell r="J14">
            <v>6.0753507014028062E-2</v>
          </cell>
          <cell r="K14">
            <v>5.191663326653307E-2</v>
          </cell>
          <cell r="L14">
            <v>0.12482084168336675</v>
          </cell>
          <cell r="M14">
            <v>7.1799599198396805E-2</v>
          </cell>
          <cell r="N14">
            <v>0.37667174348697396</v>
          </cell>
          <cell r="O14">
            <v>3766.7174348697395</v>
          </cell>
        </row>
        <row r="15">
          <cell r="B15" t="str">
            <v>10&lt;11</v>
          </cell>
          <cell r="C15">
            <v>5.2999999999999999E-2</v>
          </cell>
          <cell r="D15">
            <v>5.2999999999999999E-2</v>
          </cell>
          <cell r="E15">
            <v>4.4999999999999998E-2</v>
          </cell>
          <cell r="F15">
            <v>0.122</v>
          </cell>
          <cell r="G15">
            <v>6.7000000000000004E-2</v>
          </cell>
          <cell r="H15">
            <v>1.2192384769539077</v>
          </cell>
          <cell r="I15">
            <v>6.4619639278557114E-2</v>
          </cell>
          <cell r="J15">
            <v>6.4619639278557114E-2</v>
          </cell>
          <cell r="K15">
            <v>5.4865731462925844E-2</v>
          </cell>
          <cell r="L15">
            <v>0.14874709418837676</v>
          </cell>
          <cell r="M15">
            <v>8.1688977955911818E-2</v>
          </cell>
          <cell r="N15">
            <v>0.41454108216432861</v>
          </cell>
          <cell r="O15">
            <v>4145.410821643286</v>
          </cell>
        </row>
        <row r="16">
          <cell r="B16" t="str">
            <v>11&lt;12</v>
          </cell>
          <cell r="C16">
            <v>5.2999999999999999E-2</v>
          </cell>
          <cell r="D16">
            <v>5.2999999999999999E-2</v>
          </cell>
          <cell r="E16">
            <v>4.4999999999999998E-2</v>
          </cell>
          <cell r="F16">
            <v>0.122</v>
          </cell>
          <cell r="G16">
            <v>6.7000000000000004E-2</v>
          </cell>
          <cell r="H16">
            <v>1.3801369863013699</v>
          </cell>
          <cell r="I16">
            <v>7.31472602739726E-2</v>
          </cell>
          <cell r="J16">
            <v>7.31472602739726E-2</v>
          </cell>
          <cell r="K16">
            <v>6.2106164383561646E-2</v>
          </cell>
          <cell r="L16">
            <v>0.16837671232876714</v>
          </cell>
          <cell r="M16">
            <v>9.2469178082191794E-2</v>
          </cell>
          <cell r="N16">
            <v>0.46924657534246578</v>
          </cell>
          <cell r="O16">
            <v>4692.465753424658</v>
          </cell>
        </row>
        <row r="17">
          <cell r="B17" t="str">
            <v>12&lt;13</v>
          </cell>
          <cell r="C17">
            <v>4.8000000000000001E-2</v>
          </cell>
          <cell r="D17">
            <v>5.5E-2</v>
          </cell>
          <cell r="E17">
            <v>4.4999999999999998E-2</v>
          </cell>
          <cell r="F17">
            <v>0.125</v>
          </cell>
          <cell r="G17">
            <v>6.5000000000000002E-2</v>
          </cell>
          <cell r="H17">
            <v>1.4863013698630136</v>
          </cell>
          <cell r="I17">
            <v>7.134246575342465E-2</v>
          </cell>
          <cell r="J17">
            <v>8.1746575342465752E-2</v>
          </cell>
          <cell r="K17">
            <v>6.6883561643835618E-2</v>
          </cell>
          <cell r="L17">
            <v>0.18578767123287671</v>
          </cell>
          <cell r="M17">
            <v>9.6609589041095886E-2</v>
          </cell>
          <cell r="N17">
            <v>0.50236986301369857</v>
          </cell>
          <cell r="O17">
            <v>5023.6986301369861</v>
          </cell>
        </row>
        <row r="18">
          <cell r="B18" t="str">
            <v>13&lt;14</v>
          </cell>
          <cell r="C18">
            <v>4.8000000000000001E-2</v>
          </cell>
          <cell r="D18">
            <v>5.5E-2</v>
          </cell>
          <cell r="E18">
            <v>4.4999999999999998E-2</v>
          </cell>
          <cell r="F18">
            <v>0.125</v>
          </cell>
          <cell r="G18">
            <v>6.5000000000000002E-2</v>
          </cell>
          <cell r="H18">
            <v>1.5712328767123289</v>
          </cell>
          <cell r="I18">
            <v>7.5419178082191785E-2</v>
          </cell>
          <cell r="J18">
            <v>8.6417808219178091E-2</v>
          </cell>
          <cell r="K18">
            <v>7.0705479452054798E-2</v>
          </cell>
          <cell r="L18">
            <v>0.19640410958904111</v>
          </cell>
          <cell r="M18">
            <v>0.10213013698630138</v>
          </cell>
          <cell r="N18">
            <v>0.53107671232876719</v>
          </cell>
          <cell r="O18">
            <v>5310.7671232876719</v>
          </cell>
        </row>
        <row r="19">
          <cell r="B19" t="str">
            <v>14&lt;15</v>
          </cell>
          <cell r="C19">
            <v>4.4999999999999998E-2</v>
          </cell>
          <cell r="D19">
            <v>5.2999999999999999E-2</v>
          </cell>
          <cell r="E19">
            <v>4.2000000000000003E-2</v>
          </cell>
          <cell r="F19">
            <v>0.121</v>
          </cell>
          <cell r="G19">
            <v>6.0999999999999999E-2</v>
          </cell>
          <cell r="H19">
            <v>1.6455479452054795</v>
          </cell>
          <cell r="I19">
            <v>7.4049657534246582E-2</v>
          </cell>
          <cell r="J19">
            <v>8.7214041095890413E-2</v>
          </cell>
          <cell r="K19">
            <v>6.9113013698630141E-2</v>
          </cell>
          <cell r="L19">
            <v>0.19911130136986302</v>
          </cell>
          <cell r="M19">
            <v>0.10037842465753424</v>
          </cell>
          <cell r="N19">
            <v>0.52986643835616443</v>
          </cell>
          <cell r="O19">
            <v>5298.6643835616442</v>
          </cell>
        </row>
        <row r="20">
          <cell r="B20" t="str">
            <v>15&lt;16</v>
          </cell>
          <cell r="C20">
            <v>4.4999999999999998E-2</v>
          </cell>
          <cell r="D20">
            <v>5.2999999999999999E-2</v>
          </cell>
          <cell r="E20">
            <v>4.2000000000000003E-2</v>
          </cell>
          <cell r="F20">
            <v>0.121</v>
          </cell>
          <cell r="G20">
            <v>6.0999999999999999E-2</v>
          </cell>
          <cell r="H20">
            <v>1.6667808219178084</v>
          </cell>
          <cell r="I20">
            <v>7.5005136986301374E-2</v>
          </cell>
          <cell r="J20">
            <v>8.833938356164385E-2</v>
          </cell>
          <cell r="K20">
            <v>7.0004794520547961E-2</v>
          </cell>
          <cell r="L20">
            <v>0.20168047945205481</v>
          </cell>
          <cell r="M20">
            <v>0.10167363013698631</v>
          </cell>
          <cell r="N20">
            <v>0.53670342465753429</v>
          </cell>
          <cell r="O20">
            <v>5367.0342465753429</v>
          </cell>
        </row>
        <row r="21">
          <cell r="B21" t="str">
            <v>16&lt;17</v>
          </cell>
          <cell r="C21">
            <v>4.2999999999999997E-2</v>
          </cell>
          <cell r="D21">
            <v>5.0999999999999997E-2</v>
          </cell>
          <cell r="E21">
            <v>4.3999999999999997E-2</v>
          </cell>
          <cell r="F21">
            <v>0.11899999999999999</v>
          </cell>
          <cell r="G21">
            <v>6.0999999999999999E-2</v>
          </cell>
          <cell r="H21">
            <v>1.6289156626506027</v>
          </cell>
          <cell r="I21">
            <v>7.0043373493975908E-2</v>
          </cell>
          <cell r="J21">
            <v>8.3074698795180729E-2</v>
          </cell>
          <cell r="K21">
            <v>7.1672289156626517E-2</v>
          </cell>
          <cell r="L21">
            <v>0.19384096385542171</v>
          </cell>
          <cell r="M21">
            <v>9.936385542168677E-2</v>
          </cell>
          <cell r="N21">
            <v>0.51799518072289163</v>
          </cell>
          <cell r="O21">
            <v>5179.9518072289166</v>
          </cell>
        </row>
        <row r="22">
          <cell r="B22" t="str">
            <v>17&lt;18</v>
          </cell>
          <cell r="C22">
            <v>4.2999999999999997E-2</v>
          </cell>
          <cell r="D22">
            <v>5.0999999999999997E-2</v>
          </cell>
          <cell r="E22">
            <v>4.3999999999999997E-2</v>
          </cell>
          <cell r="F22">
            <v>0.11899999999999999</v>
          </cell>
          <cell r="G22">
            <v>6.0999999999999999E-2</v>
          </cell>
          <cell r="H22">
            <v>1.6594578313253014</v>
          </cell>
          <cell r="I22">
            <v>7.135668674698796E-2</v>
          </cell>
          <cell r="J22">
            <v>8.4632349397590373E-2</v>
          </cell>
          <cell r="K22">
            <v>7.3016144578313263E-2</v>
          </cell>
          <cell r="L22">
            <v>0.19747548192771086</v>
          </cell>
          <cell r="M22">
            <v>0.10122692771084339</v>
          </cell>
          <cell r="N22">
            <v>0.52770759036144588</v>
          </cell>
          <cell r="O22">
            <v>5277.0759036144591</v>
          </cell>
        </row>
        <row r="23">
          <cell r="B23" t="str">
            <v>Adult</v>
          </cell>
          <cell r="C23">
            <v>6.2E-2</v>
          </cell>
          <cell r="D23">
            <v>6.0159999999999998E-2</v>
          </cell>
          <cell r="E23">
            <v>4.8000000000000001E-2</v>
          </cell>
          <cell r="F23">
            <v>0.12920000000000001</v>
          </cell>
          <cell r="G23">
            <v>6.6000000000000003E-2</v>
          </cell>
          <cell r="H23">
            <v>1.7205421686746991</v>
          </cell>
          <cell r="I23">
            <v>0.10667361445783134</v>
          </cell>
          <cell r="J23">
            <v>0.10350781686746989</v>
          </cell>
          <cell r="K23">
            <v>8.258602409638556E-2</v>
          </cell>
          <cell r="L23">
            <v>0.22229404819277115</v>
          </cell>
          <cell r="M23">
            <v>0.11355578313253015</v>
          </cell>
          <cell r="N23">
            <v>0.62861728674698802</v>
          </cell>
          <cell r="O23">
            <v>6286.1728674698807</v>
          </cell>
        </row>
        <row r="24">
          <cell r="A24" t="str">
            <v>Yellow are from USEPA Exposure Factors Handbook 2011 Table 7-2 (USEPA 1985 for first two years), other ages based on adjustments in Boniol found in Table 7-8</v>
          </cell>
        </row>
        <row r="25">
          <cell r="A25" t="str">
            <v xml:space="preserve">Mean % of Male and female children from USEPA because not broken out, female for USEPA adults, female from Boniol  </v>
          </cell>
        </row>
        <row r="26">
          <cell r="A26" t="str">
            <v>For USEPA forearms is arms times .47,  per reported conversations between VT and USEPA Region 1 risk assessors, for all Boniol is "lower arms",</v>
          </cell>
        </row>
        <row r="27">
          <cell r="A27" t="str">
            <v>For USEPA Lower legs is legs times .40 per same reported USEPA conversations above, for Boniol use "legs", as they had "legs" and "thighs" separate and "legs" were smaller, assume lower legs for legs.</v>
          </cell>
        </row>
        <row r="29">
          <cell r="A29" t="str">
            <v>Calcuations for getting yearly estimates from the 2011 EFH tables</v>
          </cell>
        </row>
        <row r="30">
          <cell r="I30" t="str">
            <v>2011 Data by age bin</v>
          </cell>
        </row>
        <row r="31">
          <cell r="I31" t="str">
            <v xml:space="preserve">EFH, 2011 Table 7-11 p. 7-42 </v>
          </cell>
        </row>
        <row r="33">
          <cell r="G33" t="str">
            <v>AGE</v>
          </cell>
          <cell r="I33" t="str">
            <v>TOTAL BODY SA (m2)</v>
          </cell>
        </row>
        <row r="34">
          <cell r="G34" t="str">
            <v xml:space="preserve"> EHF, 2011</v>
          </cell>
          <cell r="H34" t="str">
            <v>m2</v>
          </cell>
          <cell r="I34" t="str">
            <v>years</v>
          </cell>
          <cell r="J34" t="str">
            <v>wtd by 
time</v>
          </cell>
          <cell r="O34" t="str">
            <v xml:space="preserve">Updated Values </v>
          </cell>
        </row>
        <row r="35">
          <cell r="C35" t="str">
            <v>1997 Data by Year</v>
          </cell>
          <cell r="G35" t="str">
            <v>0&lt;1m</v>
          </cell>
          <cell r="H35">
            <v>0.28000000000000003</v>
          </cell>
          <cell r="I35">
            <v>8.3333333333333329E-2</v>
          </cell>
          <cell r="J35">
            <v>2.3333333333333334E-2</v>
          </cell>
          <cell r="M35" t="str">
            <v xml:space="preserve"> </v>
          </cell>
          <cell r="O35" t="str">
            <v>for Use in This Method 1 Suite</v>
          </cell>
        </row>
        <row r="36">
          <cell r="B36" t="str">
            <v>EFH, 97 Tables 6-7 (child),  6-2 (18+)</v>
          </cell>
          <cell r="G36" t="str">
            <v>1&lt;3m</v>
          </cell>
          <cell r="H36">
            <v>0.31</v>
          </cell>
          <cell r="I36">
            <v>0.16666666666666666</v>
          </cell>
          <cell r="J36">
            <v>5.1666666666666666E-2</v>
          </cell>
        </row>
        <row r="37">
          <cell r="G37" t="str">
            <v>3&lt;6m</v>
          </cell>
          <cell r="H37">
            <v>0.38</v>
          </cell>
          <cell r="I37">
            <v>0.25</v>
          </cell>
          <cell r="J37">
            <v>9.5000000000000001E-2</v>
          </cell>
          <cell r="O37" t="str">
            <v>For Soil</v>
          </cell>
          <cell r="P37" t="str">
            <v>For GW</v>
          </cell>
        </row>
        <row r="38">
          <cell r="B38" t="str">
            <v>Female</v>
          </cell>
          <cell r="C38" t="str">
            <v>Total Body SA m2</v>
          </cell>
          <cell r="G38" t="str">
            <v>6&lt;12m</v>
          </cell>
          <cell r="H38">
            <v>0.44</v>
          </cell>
          <cell r="I38">
            <v>0.5</v>
          </cell>
          <cell r="J38">
            <v>0.22</v>
          </cell>
          <cell r="N38" t="str">
            <v xml:space="preserve">1997 
SA Adjusted </v>
          </cell>
          <cell r="O38" t="str">
            <v>Updated</v>
          </cell>
          <cell r="P38" t="str">
            <v>Updated</v>
          </cell>
        </row>
        <row r="39">
          <cell r="B39" t="str">
            <v>AGE</v>
          </cell>
          <cell r="G39" t="str">
            <v>above time weighted summed to get 0&lt;1yr below</v>
          </cell>
          <cell r="L39" t="str">
            <v>% Diff btwn</v>
          </cell>
          <cell r="M39" t="str">
            <v>AGE</v>
          </cell>
          <cell r="N39" t="str">
            <v>by 2011
 % Diff</v>
          </cell>
          <cell r="O39" t="str">
            <v>Total SA
m2</v>
          </cell>
          <cell r="P39" t="str">
            <v>Total SA 
cm2</v>
          </cell>
        </row>
        <row r="40">
          <cell r="A40" t="str">
            <v>no data,</v>
          </cell>
          <cell r="B40" t="str">
            <v>0&lt;1</v>
          </cell>
          <cell r="C40">
            <v>0.57899999999999996</v>
          </cell>
          <cell r="G40" t="str">
            <v>0&lt;1</v>
          </cell>
          <cell r="J40">
            <v>0.39</v>
          </cell>
          <cell r="K40" t="str">
            <v>0&lt;1 yr</v>
          </cell>
          <cell r="L40" t="str">
            <v>1997 &amp; 2011</v>
          </cell>
          <cell r="M40" t="str">
            <v>0&lt;1</v>
          </cell>
          <cell r="O40">
            <v>0.39</v>
          </cell>
          <cell r="P40">
            <v>3900</v>
          </cell>
        </row>
        <row r="41">
          <cell r="A41" t="str">
            <v>use 2&lt;3</v>
          </cell>
          <cell r="B41" t="str">
            <v>1&lt;2</v>
          </cell>
          <cell r="C41">
            <v>0.57899999999999996</v>
          </cell>
          <cell r="G41" t="str">
            <v>1&lt;2</v>
          </cell>
          <cell r="H41">
            <v>0.52</v>
          </cell>
          <cell r="I41">
            <v>1</v>
          </cell>
          <cell r="J41">
            <v>0.52</v>
          </cell>
          <cell r="K41" t="str">
            <v>1&lt;2 yr</v>
          </cell>
          <cell r="M41" t="str">
            <v>1&lt;2</v>
          </cell>
          <cell r="O41">
            <v>0.52</v>
          </cell>
          <cell r="P41">
            <v>5200</v>
          </cell>
          <cell r="Q41" t="str">
            <v>Ave 0&lt;2:</v>
          </cell>
          <cell r="R41">
            <v>4550</v>
          </cell>
        </row>
        <row r="42">
          <cell r="B42" t="str">
            <v>2&lt;3</v>
          </cell>
          <cell r="C42">
            <v>0.57899999999999996</v>
          </cell>
          <cell r="G42" t="str">
            <v>2&lt;3</v>
          </cell>
          <cell r="H42">
            <v>0.59</v>
          </cell>
          <cell r="I42">
            <v>1</v>
          </cell>
          <cell r="J42">
            <v>0.59</v>
          </cell>
          <cell r="K42" t="str">
            <v>2&lt;3 yr</v>
          </cell>
          <cell r="M42" t="str">
            <v>2&lt;3</v>
          </cell>
          <cell r="O42">
            <v>0.59</v>
          </cell>
          <cell r="P42">
            <v>5900</v>
          </cell>
        </row>
        <row r="43">
          <cell r="B43" t="str">
            <v>3&lt;4</v>
          </cell>
          <cell r="C43">
            <v>0.64900000000000002</v>
          </cell>
          <cell r="D43" t="str">
            <v>3-&lt;6 yr</v>
          </cell>
          <cell r="E43">
            <v>0.71133333333333326</v>
          </cell>
          <cell r="G43" t="str">
            <v>3&lt;6</v>
          </cell>
          <cell r="I43">
            <v>3</v>
          </cell>
          <cell r="J43">
            <v>0.74</v>
          </cell>
          <cell r="K43" t="str">
            <v>3&lt;6 yr</v>
          </cell>
          <cell r="L43">
            <v>4.0299906279287816</v>
          </cell>
          <cell r="M43" t="str">
            <v>3&lt;4</v>
          </cell>
          <cell r="N43">
            <v>0.67515463917525786</v>
          </cell>
          <cell r="O43">
            <v>0.67515463917525786</v>
          </cell>
          <cell r="P43">
            <v>6751.5463917525785</v>
          </cell>
        </row>
        <row r="44">
          <cell r="B44" t="str">
            <v>4&lt;5</v>
          </cell>
          <cell r="C44">
            <v>0.70599999999999996</v>
          </cell>
          <cell r="M44" t="str">
            <v>4&lt;5</v>
          </cell>
          <cell r="N44">
            <v>0.73445173383317719</v>
          </cell>
          <cell r="O44">
            <v>0.73445173383317719</v>
          </cell>
          <cell r="P44">
            <v>7344.5173383317715</v>
          </cell>
        </row>
        <row r="45">
          <cell r="B45" t="str">
            <v>5&lt;6</v>
          </cell>
          <cell r="C45">
            <v>0.77900000000000003</v>
          </cell>
          <cell r="M45" t="str">
            <v>5&lt;6</v>
          </cell>
          <cell r="N45">
            <v>0.81039362699156525</v>
          </cell>
          <cell r="O45">
            <v>0.81039362699156525</v>
          </cell>
          <cell r="P45">
            <v>8103.9362699156527</v>
          </cell>
          <cell r="Q45" t="str">
            <v>Ave 2&lt;6:</v>
          </cell>
          <cell r="R45">
            <v>7025</v>
          </cell>
        </row>
        <row r="46">
          <cell r="B46" t="str">
            <v>6&lt;7</v>
          </cell>
          <cell r="C46">
            <v>0.84299999999999997</v>
          </cell>
          <cell r="D46" t="str">
            <v>6-&lt;11yr</v>
          </cell>
          <cell r="E46">
            <v>0.998</v>
          </cell>
          <cell r="G46" t="str">
            <v>6&lt;11</v>
          </cell>
          <cell r="I46">
            <v>5</v>
          </cell>
          <cell r="J46">
            <v>1.04</v>
          </cell>
          <cell r="K46" t="str">
            <v>6&lt;11yr</v>
          </cell>
          <cell r="L46">
            <v>4.2084168336673384</v>
          </cell>
          <cell r="M46" t="str">
            <v>6&lt;7</v>
          </cell>
          <cell r="N46">
            <v>0.87847695390781566</v>
          </cell>
          <cell r="O46">
            <v>0.87847695390781566</v>
          </cell>
          <cell r="P46">
            <v>8784.7695390781573</v>
          </cell>
        </row>
        <row r="47">
          <cell r="B47" t="str">
            <v>7&lt;8</v>
          </cell>
          <cell r="C47">
            <v>0.91700000000000004</v>
          </cell>
          <cell r="M47" t="str">
            <v>7&lt;8</v>
          </cell>
          <cell r="N47">
            <v>0.95559118236472951</v>
          </cell>
          <cell r="O47">
            <v>0.95559118236472951</v>
          </cell>
          <cell r="P47">
            <v>9555.911823647295</v>
          </cell>
          <cell r="Q47" t="str">
            <v>Ave 0&lt;7:</v>
          </cell>
          <cell r="R47">
            <v>6569.2527912968799</v>
          </cell>
        </row>
        <row r="48">
          <cell r="B48" t="str">
            <v>8&lt;9</v>
          </cell>
          <cell r="C48">
            <v>1</v>
          </cell>
          <cell r="M48" t="str">
            <v>8&lt;9</v>
          </cell>
          <cell r="N48">
            <v>1.0420841683366733</v>
          </cell>
          <cell r="O48">
            <v>1.0420841683366733</v>
          </cell>
          <cell r="P48">
            <v>10420.841683366732</v>
          </cell>
        </row>
        <row r="49">
          <cell r="B49" t="str">
            <v>9&lt;10</v>
          </cell>
          <cell r="C49">
            <v>1.06</v>
          </cell>
          <cell r="M49" t="str">
            <v>9&lt;10</v>
          </cell>
          <cell r="N49">
            <v>1.1046092184368739</v>
          </cell>
          <cell r="O49">
            <v>1.1046092184368739</v>
          </cell>
          <cell r="P49">
            <v>11046.092184368739</v>
          </cell>
        </row>
        <row r="50">
          <cell r="B50" t="str">
            <v>10&lt;11</v>
          </cell>
          <cell r="C50">
            <v>1.17</v>
          </cell>
          <cell r="M50" t="str">
            <v>10&lt;11</v>
          </cell>
          <cell r="N50">
            <v>1.2192384769539077</v>
          </cell>
          <cell r="O50">
            <v>1.2192384769539077</v>
          </cell>
          <cell r="P50">
            <v>12192.384769539078</v>
          </cell>
        </row>
        <row r="51">
          <cell r="B51" t="str">
            <v>11&lt;12</v>
          </cell>
          <cell r="C51">
            <v>1.3</v>
          </cell>
          <cell r="D51" t="str">
            <v>11-&lt;16 yr</v>
          </cell>
          <cell r="E51">
            <v>1.46</v>
          </cell>
          <cell r="G51" t="str">
            <v>11&lt;16</v>
          </cell>
          <cell r="I51">
            <v>5</v>
          </cell>
          <cell r="J51">
            <v>1.55</v>
          </cell>
          <cell r="K51" t="str">
            <v>11&lt;16 yr</v>
          </cell>
          <cell r="L51">
            <v>6.1643835616438407</v>
          </cell>
          <cell r="M51" t="str">
            <v>11&lt;12</v>
          </cell>
          <cell r="N51">
            <v>1.3801369863013699</v>
          </cell>
          <cell r="O51">
            <v>1.3801369863013699</v>
          </cell>
          <cell r="P51">
            <v>13801.369863013699</v>
          </cell>
        </row>
        <row r="52">
          <cell r="B52" t="str">
            <v>12&lt;13</v>
          </cell>
          <cell r="C52">
            <v>1.4</v>
          </cell>
          <cell r="M52" t="str">
            <v>12&lt;13</v>
          </cell>
          <cell r="N52">
            <v>1.4863013698630136</v>
          </cell>
          <cell r="O52">
            <v>1.4863013698630136</v>
          </cell>
          <cell r="P52">
            <v>14863.013698630137</v>
          </cell>
          <cell r="Q52" t="str">
            <v>Ave 6&lt;16:</v>
          </cell>
          <cell r="R52">
            <v>12950</v>
          </cell>
        </row>
        <row r="53">
          <cell r="B53" t="str">
            <v>13&lt;14</v>
          </cell>
          <cell r="C53">
            <v>1.48</v>
          </cell>
          <cell r="M53" t="str">
            <v>13&lt;14</v>
          </cell>
          <cell r="N53">
            <v>1.5712328767123289</v>
          </cell>
          <cell r="O53">
            <v>1.5712328767123289</v>
          </cell>
          <cell r="P53">
            <v>15712.328767123288</v>
          </cell>
        </row>
        <row r="54">
          <cell r="B54" t="str">
            <v>14&lt;15</v>
          </cell>
          <cell r="C54">
            <v>1.55</v>
          </cell>
          <cell r="M54" t="str">
            <v>14&lt;15</v>
          </cell>
          <cell r="N54">
            <v>1.6455479452054795</v>
          </cell>
          <cell r="O54">
            <v>1.6455479452054795</v>
          </cell>
          <cell r="P54">
            <v>16455.479452054795</v>
          </cell>
          <cell r="Q54" t="str">
            <v>Ave 7&lt;14:</v>
          </cell>
          <cell r="R54">
            <v>12513.13468424128</v>
          </cell>
        </row>
        <row r="55">
          <cell r="B55" t="str">
            <v>15&lt;16</v>
          </cell>
          <cell r="C55">
            <v>1.57</v>
          </cell>
          <cell r="M55" t="str">
            <v>15&lt;16</v>
          </cell>
          <cell r="N55">
            <v>1.6667808219178084</v>
          </cell>
          <cell r="O55">
            <v>1.6667808219178084</v>
          </cell>
          <cell r="P55">
            <v>16667.808219178085</v>
          </cell>
        </row>
        <row r="56">
          <cell r="B56" t="str">
            <v>16&lt;17</v>
          </cell>
          <cell r="C56">
            <v>1.6</v>
          </cell>
          <cell r="D56" t="str">
            <v>16-&lt;21 yr</v>
          </cell>
          <cell r="E56">
            <v>1.6599999999999997</v>
          </cell>
          <cell r="G56" t="str">
            <v>16&lt;21</v>
          </cell>
          <cell r="I56">
            <v>5</v>
          </cell>
          <cell r="J56">
            <v>1.69</v>
          </cell>
          <cell r="K56" t="str">
            <v>16&lt;21 yr</v>
          </cell>
          <cell r="L56">
            <v>1.807228915662666</v>
          </cell>
          <cell r="M56" t="str">
            <v>16&lt;17</v>
          </cell>
          <cell r="N56">
            <v>1.6289156626506027</v>
          </cell>
          <cell r="O56">
            <v>1.6289156626506027</v>
          </cell>
          <cell r="P56">
            <v>16289.156626506026</v>
          </cell>
        </row>
        <row r="57">
          <cell r="B57" t="str">
            <v>17&lt;18</v>
          </cell>
          <cell r="C57">
            <v>1.63</v>
          </cell>
          <cell r="M57" t="str">
            <v>17&lt;18</v>
          </cell>
          <cell r="N57">
            <v>1.6594578313253014</v>
          </cell>
          <cell r="O57">
            <v>1.6594578313253014</v>
          </cell>
          <cell r="P57">
            <v>16594.578313253016</v>
          </cell>
        </row>
        <row r="58">
          <cell r="B58" t="str">
            <v>18&lt;19</v>
          </cell>
          <cell r="C58">
            <v>1.69</v>
          </cell>
          <cell r="G58" t="str">
            <v>Adult</v>
          </cell>
          <cell r="H58" t="str">
            <v xml:space="preserve">From Table 7-13 </v>
          </cell>
          <cell r="J58">
            <v>1.82</v>
          </cell>
          <cell r="M58" t="str">
            <v>18&lt;19</v>
          </cell>
          <cell r="N58">
            <v>1.7205421686746991</v>
          </cell>
          <cell r="O58">
            <v>1.7205421686746991</v>
          </cell>
          <cell r="P58">
            <v>17205.421686746991</v>
          </cell>
        </row>
        <row r="59">
          <cell r="B59" t="str">
            <v>19&lt;20</v>
          </cell>
          <cell r="C59">
            <v>1.69</v>
          </cell>
          <cell r="H59" t="str">
            <v>p 7-45 (50th percentile Adult female 21 and older)</v>
          </cell>
          <cell r="M59" t="str">
            <v>19&lt;20</v>
          </cell>
          <cell r="N59">
            <v>1.7205421686746991</v>
          </cell>
          <cell r="O59">
            <v>1.7205421686746991</v>
          </cell>
          <cell r="P59">
            <v>17205.421686746991</v>
          </cell>
          <cell r="Q59" t="str">
            <v>Ave 16&lt;30:</v>
          </cell>
          <cell r="R59">
            <v>17735.714285714286</v>
          </cell>
        </row>
        <row r="60">
          <cell r="B60" t="str">
            <v>20&lt;21</v>
          </cell>
          <cell r="C60">
            <v>1.69</v>
          </cell>
          <cell r="M60" t="str">
            <v>20&lt;21</v>
          </cell>
          <cell r="N60">
            <v>1.7205421686746991</v>
          </cell>
          <cell r="O60">
            <v>1.7205421686746991</v>
          </cell>
          <cell r="P60">
            <v>17205.421686746991</v>
          </cell>
        </row>
        <row r="61">
          <cell r="M61" t="str">
            <v>ADULT</v>
          </cell>
          <cell r="O61">
            <v>1.82</v>
          </cell>
          <cell r="P61">
            <v>18200</v>
          </cell>
          <cell r="Q61" t="str">
            <v>Ave 14&lt;30:</v>
          </cell>
          <cell r="R61">
            <v>17588.955479452055</v>
          </cell>
        </row>
        <row r="70">
          <cell r="M70" t="str">
            <v xml:space="preserve"> </v>
          </cell>
        </row>
      </sheetData>
      <sheetData sheetId="6">
        <row r="1">
          <cell r="A1" t="str">
            <v>References for the Derivation of the MCP Standards</v>
          </cell>
        </row>
        <row r="4">
          <cell r="A4" t="str">
            <v>Reference #</v>
          </cell>
          <cell r="B4" t="str">
            <v>Description</v>
          </cell>
        </row>
        <row r="5">
          <cell r="B5" t="str">
            <v>Toxicity Values</v>
          </cell>
        </row>
        <row r="6">
          <cell r="A6">
            <v>1</v>
          </cell>
          <cell r="B6" t="str">
            <v>USEPA, Integrated Risk Information System (IRIS).</v>
          </cell>
        </row>
        <row r="7">
          <cell r="A7" t="str">
            <v>1a</v>
          </cell>
          <cell r="B7" t="str">
            <v>The oral cancer slope factor for a mix of 2,4- and 2,6- Dinitrotoluene (from IRIS) has been</v>
          </cell>
        </row>
        <row r="8">
          <cell r="B8" t="str">
            <v>used as the cancer slope factor equivalent for pure 2,4-Dinitrotoluene.</v>
          </cell>
        </row>
        <row r="9">
          <cell r="A9" t="str">
            <v>1b</v>
          </cell>
          <cell r="B9" t="str">
            <v>The chronic oral RfD for 1,2-Dichlorobenzene has been used as the chronic oral RfD equivalent for 1,3-Dichlorobenzene and 1,4-Dichlorobenzene.</v>
          </cell>
        </row>
        <row r="10">
          <cell r="A10" t="str">
            <v>1c</v>
          </cell>
          <cell r="B10" t="str">
            <v>IRIS lists two oral RfDs for cadmium, one for food and one for water exposure.  The more conservative is used.</v>
          </cell>
        </row>
        <row r="11">
          <cell r="A11" t="str">
            <v>1d</v>
          </cell>
          <cell r="B11" t="str">
            <v>The chronic oral RfD (from IRIS) has been used here as a subchronic oral RfD equivalent.</v>
          </cell>
        </row>
        <row r="12">
          <cell r="A12" t="str">
            <v>1e</v>
          </cell>
          <cell r="B12" t="str">
            <v xml:space="preserve">The IRIS Oral Cancer Slope Factor and Inhalation Unit Risk for benzo(a)pyrene is the basis for the Oral Cancer Slope Factors and Inhalation Unit Risks applied to the seven PAH compounds which are </v>
          </cell>
        </row>
        <row r="13">
          <cell r="B13" t="str">
            <v>designated as category A, B1, B2 or C carcinogens. The values are adjusted by Relative Potency Factors.</v>
          </cell>
        </row>
        <row r="14">
          <cell r="A14" t="str">
            <v>1f</v>
          </cell>
          <cell r="B14" t="str">
            <v>This value was withdrawn from IRIS. MassDEP continues to use it pending new toxicity information.</v>
          </cell>
        </row>
        <row r="15">
          <cell r="A15" t="str">
            <v>1g</v>
          </cell>
          <cell r="B15" t="str">
            <v>The chronic oral Reference Dose for DDT has been adopted for DDD and DDE as well.</v>
          </cell>
        </row>
        <row r="16">
          <cell r="A16" t="str">
            <v>1h</v>
          </cell>
          <cell r="B16" t="str">
            <v>The IRIS chronic RfC for Cr VI was used for CR III.</v>
          </cell>
        </row>
        <row r="17">
          <cell r="A17" t="str">
            <v>1i</v>
          </cell>
          <cell r="B17" t="str">
            <v>The subchronic RfD is based upon the subchronic toxicity data that is the basis of the chronic RfD presented in the IRIS file.</v>
          </cell>
        </row>
        <row r="18">
          <cell r="A18" t="str">
            <v>1j</v>
          </cell>
          <cell r="B18" t="str">
            <v>The subchronic RfC is set equal to the chronic RfC based on information in the IRIS file.</v>
          </cell>
        </row>
        <row r="19">
          <cell r="A19" t="str">
            <v>1k</v>
          </cell>
          <cell r="B19" t="str">
            <v>The subchronic RfC is based upon the subchronic toxicity data that is the basis of the chronic RfC presented in the IRIS file.</v>
          </cell>
        </row>
        <row r="20">
          <cell r="A20" t="str">
            <v>1l</v>
          </cell>
          <cell r="B20" t="str">
            <v xml:space="preserve">This value is presented in IRIS as the Oral Cancer Slope Factor that would result from including leukemia data in the development of the value. </v>
          </cell>
        </row>
        <row r="21">
          <cell r="A21" t="str">
            <v>1m</v>
          </cell>
          <cell r="B21" t="str">
            <v>The chronic and subchronic RfCs for 1,4-Dichlorobenze are used for 1,2- and 1,3- Dichlorobenzene.</v>
          </cell>
        </row>
        <row r="22">
          <cell r="A22" t="str">
            <v>1n</v>
          </cell>
          <cell r="B22" t="str">
            <v>USEPA Health Advisory https://www.epa.gov/ground-water-and-drinking-water/supporting-documents-drinking-water-health-advisories-pfoa-and-pfos</v>
          </cell>
        </row>
        <row r="24">
          <cell r="A24">
            <v>2</v>
          </cell>
          <cell r="B24" t="str">
            <v xml:space="preserve">USEPA Health Effects Assessment Summary Tables (HEAST), Annual FY-1996.  </v>
          </cell>
        </row>
        <row r="25">
          <cell r="A25" t="str">
            <v>2a</v>
          </cell>
          <cell r="B25" t="str">
            <v>This subchronic oral RfD (from HEAST) for 1,2-Dichlorobenzene has been used as the</v>
          </cell>
        </row>
        <row r="26">
          <cell r="A26" t="str">
            <v xml:space="preserve"> </v>
          </cell>
          <cell r="B26" t="str">
            <v xml:space="preserve">subchronic oral RfD equivalent for 1,3- and 1,4- Dichlorobenzene. </v>
          </cell>
        </row>
        <row r="27">
          <cell r="A27" t="str">
            <v>2b</v>
          </cell>
          <cell r="B27" t="str">
            <v>The subchronic RfC is based upon the subchronic toxicity data that is the basis of the chronic RfC presented in HEAST.</v>
          </cell>
        </row>
        <row r="28">
          <cell r="A28" t="str">
            <v>2c</v>
          </cell>
          <cell r="B28" t="str">
            <v xml:space="preserve">This Cancer Slope Factor or Unit Risk was taken from a fact sheet distributed by the USEPA Superfund Health Risk Technical Support Center at </v>
          </cell>
        </row>
        <row r="29">
          <cell r="B29" t="str">
            <v>ECAO-Cincinnati, current as of September 2, 1992.</v>
          </cell>
        </row>
        <row r="30">
          <cell r="A30" t="str">
            <v>2d</v>
          </cell>
          <cell r="B30" t="str">
            <v>This value has been withdrawn from HEAST, MassDEP continues to use it pending new information.</v>
          </cell>
        </row>
        <row r="31">
          <cell r="A31" t="str">
            <v>2e</v>
          </cell>
          <cell r="B31" t="str">
            <v>From Table 2 of HEAST. Values in Table 2 were calculated by an alternative method.</v>
          </cell>
        </row>
        <row r="32">
          <cell r="A32" t="str">
            <v>2f</v>
          </cell>
          <cell r="B32" t="str">
            <v>The chronic Reference Concentration for 1,2-dichlorobenzene has been used for 1,3 dichlorobenzene.</v>
          </cell>
        </row>
        <row r="33">
          <cell r="A33" t="str">
            <v>2g</v>
          </cell>
          <cell r="B33" t="str">
            <v>The subchronic oral RfD for DDT has been adopted for DDE and DDD as well.</v>
          </cell>
        </row>
        <row r="35">
          <cell r="A35">
            <v>3</v>
          </cell>
          <cell r="B35" t="str">
            <v>MassDEP Chemical Health Effects Assessment Methodology and Method to Derive Allowable Ambient Limits (CHEM/AAL)</v>
          </cell>
        </row>
        <row r="36">
          <cell r="B36" t="str">
            <v>http://www.mass.gov/dep/toxics/stypes/telaal.htm</v>
          </cell>
        </row>
        <row r="37">
          <cell r="A37" t="str">
            <v>3a</v>
          </cell>
          <cell r="B37" t="str">
            <v xml:space="preserve">MassDEP Methodology for Updating Air Guidelines: Allowable Ambient Limits (AALs) and Threshold Effects Exposure Limits (TELs) (MassDEP 2011). </v>
          </cell>
        </row>
        <row r="38">
          <cell r="B38" t="str">
            <v>More info on the MassDEP Amibient Air Toxics Guidelines webpage. (http://www.mass.gov/eea/agencies/massdep/toxics/sources/air-guideline-values.html)</v>
          </cell>
        </row>
        <row r="40">
          <cell r="A40">
            <v>4</v>
          </cell>
          <cell r="B40" t="str">
            <v xml:space="preserve">Developed for the Risk Assessment ShortForm - Residential Scenario (MassDEP, 1992) by MassDEP staff.  Documentation of this value may be found </v>
          </cell>
        </row>
        <row r="41">
          <cell r="B41" t="str">
            <v>in Appendix D of that document.</v>
          </cell>
        </row>
        <row r="43">
          <cell r="A43" t="str">
            <v>5a</v>
          </cell>
          <cell r="B43" t="str">
            <v>The chronic and subchronic RfDs for MTBE were developed by MassDEP ORS Air/Water Toxics staff. See http://www.mass.gov/dep/water/drinking/standards/mtbe.htm</v>
          </cell>
        </row>
        <row r="44">
          <cell r="A44" t="str">
            <v>5b</v>
          </cell>
          <cell r="B44" t="str">
            <v xml:space="preserve">The RfCs for silver, thallium, and zinc were developed by MassDEP ORS Air/Water Toxics staff. </v>
          </cell>
        </row>
        <row r="45">
          <cell r="A45" t="str">
            <v>5c</v>
          </cell>
          <cell r="B45" t="str">
            <v xml:space="preserve">Final Updated Petroleum Hydrocarbon Fraction Toxicity Values for the VPH/EPH/APH Methodology. </v>
          </cell>
        </row>
        <row r="46">
          <cell r="B46" t="str">
            <v>See: http://www.mass.gov/dep/cleanup/laws/tphtox03.doc</v>
          </cell>
        </row>
        <row r="47">
          <cell r="A47" t="str">
            <v>5d</v>
          </cell>
          <cell r="B47" t="str">
            <v>Toxicity values for PAHs are consistent with the approach presented in "Updated Petroleum Hydrocarbon Fraction Toxicity Values for the VPH/EPH/APH Methodology" MassDEP 2003 and</v>
          </cell>
        </row>
        <row r="48">
          <cell r="B48" t="str">
            <v xml:space="preserve">"Characterizing Risks Posed by Petroleum Contaminated Sites" MassDEP 2002. </v>
          </cell>
        </row>
        <row r="49">
          <cell r="A49" t="str">
            <v>5e</v>
          </cell>
          <cell r="B49" t="str">
            <v>MassDEP (2006)  Perchlorate Toxicological Profile And Health Assessment. (http://www.mass.gov/dep/toxics/perchlorate-toxicity-061206.pdf)</v>
          </cell>
        </row>
        <row r="51">
          <cell r="A51" t="str">
            <v>5h</v>
          </cell>
          <cell r="B51" t="str">
            <v xml:space="preserve">Developed by MassDEP ORS in 2013, adopted in by MassDEP in January 2014. </v>
          </cell>
        </row>
        <row r="52">
          <cell r="B52" t="str">
            <v>"Tetrachloroethylene (Perchloroethylene) Inhalation Unit Risk Value" 2014. http://www.mass.gov/eea/agencies/massdep/toxics/sources/tetrachloroethylene-pce.html</v>
          </cell>
        </row>
        <row r="53">
          <cell r="A53" t="str">
            <v>5i</v>
          </cell>
          <cell r="B53" t="str">
            <v>MassDEP ORS 2018 - background documentation for the PFAS ORSGL.</v>
          </cell>
        </row>
        <row r="55">
          <cell r="A55">
            <v>6</v>
          </cell>
          <cell r="B55" t="str">
            <v xml:space="preserve">PPRTVs </v>
          </cell>
        </row>
        <row r="56">
          <cell r="A56" t="str">
            <v>6a</v>
          </cell>
          <cell r="B56" t="str">
            <v>The chronic values is set equal to the PPRTV subchronic value.</v>
          </cell>
        </row>
        <row r="57">
          <cell r="A57" t="str">
            <v>6b</v>
          </cell>
          <cell r="B57" t="str">
            <v>Value used in USEPA Drinking Water Program and cited in PPRTV documentation.</v>
          </cell>
        </row>
        <row r="58">
          <cell r="A58" t="str">
            <v>6c</v>
          </cell>
          <cell r="B58" t="str">
            <v>PPRTV Screening Value</v>
          </cell>
        </row>
        <row r="59">
          <cell r="A59" t="str">
            <v>6d</v>
          </cell>
          <cell r="B59" t="str">
            <v>This subchronic value is from the subchronic study on which the chronic RfD is based.</v>
          </cell>
        </row>
        <row r="61">
          <cell r="A61" t="str">
            <v>7a</v>
          </cell>
          <cell r="B61" t="str">
            <v>Conversion of the oral Cancer Slope Factor to the inhalation Unit Risk, using the equation:  Slope Factor x Ventilation Rate x Constant / Body Weight</v>
          </cell>
        </row>
        <row r="62">
          <cell r="B62" t="str">
            <v>(CSF x V x C)/BW  =  (CSF x 20 m3/day x 0.001 mg/µg) / 70 kg</v>
          </cell>
        </row>
        <row r="63">
          <cell r="A63" t="str">
            <v>7b</v>
          </cell>
          <cell r="B63" t="str">
            <v>Conversion of the oral Reference Dose to a Reference Concentration, using the equation:  RfD x BW / Ventilation Rate</v>
          </cell>
        </row>
        <row r="64">
          <cell r="B64" t="str">
            <v>RfC= (RfD x 70 kg) /  20 m3/day</v>
          </cell>
        </row>
        <row r="65">
          <cell r="A65" t="str">
            <v>7c</v>
          </cell>
          <cell r="B65" t="str">
            <v>The Subchronic Inhalation Reference Concentration for this chemical is taken to be equal to the chronic value, absent clear chemical-specific information justifying a higher value..</v>
          </cell>
        </row>
        <row r="68">
          <cell r="B68" t="str">
            <v>RAFs</v>
          </cell>
        </row>
        <row r="69">
          <cell r="A69">
            <v>9</v>
          </cell>
          <cell r="B69" t="str">
            <v xml:space="preserve">MassDEP 2012 RAF Review. Unless specified otherwise, due to data limitations and consistent with the approach in Ontario Ministry of the Environment (2011 - for full reference </v>
          </cell>
        </row>
        <row r="70">
          <cell r="B70" t="str">
            <v xml:space="preserve">see note 48e), a default RAF of 1 was chosen for all organic compounds for oral ingestion of contaminated soil and water. </v>
          </cell>
        </row>
        <row r="71">
          <cell r="A71" t="str">
            <v>9a</v>
          </cell>
          <cell r="B71" t="str">
            <v xml:space="preserve">MassDEP 2012 RAF Review - Dermal RAFs for dioxins, furans, and PCBs consider data presented in:  Brewster DW, Banks YB, Clark AM and Birbaum LS. (1998).   </v>
          </cell>
        </row>
        <row r="72">
          <cell r="B72" t="str">
            <v>Comparative Dermal Absorption of 2,3,7,8-Tetrachlorodibenzo-p-dioxin and Three Polychlorinated Dibenzofurans. Toxicol Appl Pharacol 97(1):156-166.</v>
          </cell>
        </row>
        <row r="73">
          <cell r="B73" t="str">
            <v xml:space="preserve">Mayes BA, Brown GL, Mondello FJ, Holtzclaw KW, Hamilton SB, Ramsey AA. (2002).Dermal Absorption in Rhesus Monkeys of Polychlorinated Biphenyls from Soil Contaminated With </v>
          </cell>
        </row>
        <row r="74">
          <cell r="B74" t="str">
            <v>Aroclor 1260. Regul Toxicol Pharmacol 35(3):289-295.</v>
          </cell>
        </row>
        <row r="75">
          <cell r="B75" t="str">
            <v xml:space="preserve">Roy TA, Hammerstron AK and Schaum J. (2008). Percutaneous Absorption of 2,3,7,8-Tetrachlorodibenzo-p-dioxin (TCDD) from Soil. J. Toxicol Environ Health, </v>
          </cell>
        </row>
        <row r="76">
          <cell r="B76" t="str">
            <v>Part A: Current Issues: 1509-1515.</v>
          </cell>
        </row>
        <row r="77">
          <cell r="B77" t="str">
            <v xml:space="preserve">Wester RC, Maibach HI, Sedik L, Melendres J, and Wade M. (1993). Percutaneous Absorption of PCBs from Soil: In-vivo Rhesus Monkey, In-vitro Human Skin, and Binding to </v>
          </cell>
        </row>
        <row r="78">
          <cell r="B78" t="str">
            <v>Powered Human Stratum Corneum. J. Toxicol. Environ. Health 39:375-382.</v>
          </cell>
        </row>
        <row r="79">
          <cell r="B79" t="str">
            <v>Absorption of these compounds from soil with high to low organic content has been reported to range from less than 1% to over 10%. In light of the variability in the reported</v>
          </cell>
        </row>
        <row r="80">
          <cell r="B80" t="str">
            <v>dermal absorption values and study characteristics, a default value of 0.1 was selected, which is toward the high end of the reported values.</v>
          </cell>
        </row>
        <row r="81">
          <cell r="A81" t="str">
            <v>9b</v>
          </cell>
          <cell r="B81" t="str">
            <v xml:space="preserve">MassDEP 2012 RAF Review - RAFs for phenols consider data presented in Baranowska-Dutkiewicz, B. (1981) Skin absorption of phenol from aqueous </v>
          </cell>
        </row>
        <row r="82">
          <cell r="B82" t="str">
            <v xml:space="preserve">solutions in men.  Int. Arch. Environ. Health 49:99-104 </v>
          </cell>
        </row>
        <row r="83">
          <cell r="A83" t="str">
            <v>9c</v>
          </cell>
          <cell r="B83" t="str">
            <v>MassDEP 2012 RAF Review - Pentachlorophenol RAFs consider data presented in Baranowska-Dutkiewicz 1981 (see note 48b), OME 2011 (see note 48e), and USEPA 2004 (see note 48a).</v>
          </cell>
        </row>
        <row r="84">
          <cell r="A84" t="str">
            <v>9d</v>
          </cell>
          <cell r="B84" t="str">
            <v xml:space="preserve">MassDEP 2012 RAF Review - Based on Magee B, Andersen P and Burmaster. (1996). Absorption Adjustment Factor (AAF) Distributions for Polycyclic Aromatic Hydrocarbons (PAHs). </v>
          </cell>
        </row>
        <row r="85">
          <cell r="B85" t="str">
            <v>Human and Ecological Risk Assessment 2:841-873.</v>
          </cell>
        </row>
        <row r="86">
          <cell r="A86" t="str">
            <v>9e</v>
          </cell>
          <cell r="B86" t="str">
            <v xml:space="preserve">MassDEP 2012 RAF Review - Based on Ontario Ministry of the Environment (2011). Rationale for the Development of Soil and Ground Water Standards for Use at Contaminated Sites in </v>
          </cell>
        </row>
        <row r="87">
          <cell r="B87" t="str">
            <v>Ontario (April 15, 2011, Standards Development Branch, Ontario Ministry of the Environment (see Section 2.6, Development of Relative Absorption Factors, pp 61-67 and Table 2.35b</v>
          </cell>
        </row>
        <row r="88">
          <cell r="B88" t="str">
            <v xml:space="preserve"> Estimation of  Dermal Relative Absorption Factors (RAFs) PP 120- 141) http://www.ene.gov.on.ca/environment/en/resources/STDPROD_081485.html; Accessed March 22, 2012.</v>
          </cell>
        </row>
        <row r="89">
          <cell r="A89" t="str">
            <v>9f</v>
          </cell>
          <cell r="B89" t="str">
            <v xml:space="preserve">MassDEP 2012 RAF Review - Based on USEPA (2004). Risk Assessment Guidance for Superfund Volume 1: Human Health Evaluation Manual Part E, </v>
          </cell>
        </row>
        <row r="90">
          <cell r="B90" t="str">
            <v xml:space="preserve">Supplemental Guidance for Dermal Risk Assessment. </v>
          </cell>
        </row>
        <row r="91">
          <cell r="A91" t="str">
            <v>9g</v>
          </cell>
          <cell r="B91" t="str">
            <v xml:space="preserve">MassDEP 2013 - Consistent with information in the IRIS file, an RAF of .5 is used for Cadmium to adjust the water reference dose for soil. </v>
          </cell>
        </row>
        <row r="92">
          <cell r="A92" t="str">
            <v>9h</v>
          </cell>
          <cell r="B92" t="str">
            <v xml:space="preserve">MassDEP 2012, in keeping with values developed for the Risk Assessment ShortForm - Residential Scenario (MassDEP, 1992) by MassDEP staff.  Documentation of this value </v>
          </cell>
        </row>
        <row r="93">
          <cell r="B93" t="str">
            <v>is located in Appendix D of that document.</v>
          </cell>
        </row>
        <row r="95">
          <cell r="B95" t="str">
            <v>PQLs</v>
          </cell>
        </row>
        <row r="96">
          <cell r="A96" t="str">
            <v>10a</v>
          </cell>
          <cell r="B96" t="str">
            <v>PQLs from the Guide to Environmental Analytical Methods, Robert E. Wagner, editor; Genium Publishing Corporation, Schenectady, NY; 1992.</v>
          </cell>
        </row>
        <row r="97">
          <cell r="A97" t="str">
            <v>10b</v>
          </cell>
          <cell r="B97" t="str">
            <v>PQLs from USEPA Test Methods for Evaluating Solid Waste, SW-846, Third Edition (Revision O), November 1986.</v>
          </cell>
        </row>
        <row r="98">
          <cell r="A98" t="str">
            <v>10c</v>
          </cell>
          <cell r="B98" t="str">
            <v>PQL from USEPA Method 1613.</v>
          </cell>
        </row>
        <row r="99">
          <cell r="A99" t="str">
            <v>10d</v>
          </cell>
          <cell r="B99" t="str">
            <v>PQL from Standard Methods for the Examination of Water and Wastewater, 17th edition; Water Environment Federation.</v>
          </cell>
        </row>
        <row r="100">
          <cell r="A100" t="str">
            <v>10e</v>
          </cell>
          <cell r="B100" t="str">
            <v xml:space="preserve">The PQL for 1,4 Dioxane is cited in the documentation for the Massachusetts Drinking Water Guideline for 1,4-dioxane and is the LCMRL (Lowest Concentration Minimum Reporting Level) .  </v>
          </cell>
        </row>
        <row r="101">
          <cell r="B101" t="str">
            <v xml:space="preserve">Set in 2012 when the ORSGL was changed. Note that US EPA has replaced the term PQL (practical Quantitation Limit) with LCMRL.  </v>
          </cell>
        </row>
        <row r="102">
          <cell r="B102" t="str">
            <v>Analytical Methods that can achieve this concentration are U.S.EPA Method 522, Modified SW-846 8260 SIM, and Modified SW-846 8270 SIM.</v>
          </cell>
        </row>
        <row r="103">
          <cell r="B103" t="str">
            <v>See http://www.mass.gov/dep/water/drinking/standards/14dioxan.htm</v>
          </cell>
        </row>
        <row r="104">
          <cell r="A104" t="str">
            <v>10f</v>
          </cell>
          <cell r="B104" t="str">
            <v>The PQL for Perchlorate is cited in the documentation for the Massachusetts Drinking Water Guidelines and is based on U.S. EPA Method 314.0, revision 1.0 (U.S. EPA, 1999b)</v>
          </cell>
        </row>
        <row r="105">
          <cell r="B105" t="str">
            <v>See http://www.mass.gov/dep/water/drinking/standards/perchlor.htm</v>
          </cell>
        </row>
        <row r="106">
          <cell r="A106" t="str">
            <v>10g</v>
          </cell>
          <cell r="B106" t="str">
            <v>PQL from MassDEP WSC Memorandum #99-145 "PRESERVATION TECHNIQUES FOR VOLATILE ORGANIC COMPOUND (VOC) SOIL SAMPLE ANALYSES"</v>
          </cell>
        </row>
        <row r="107">
          <cell r="B107" t="str">
            <v>using methanol preservation techniques.</v>
          </cell>
        </row>
        <row r="108">
          <cell r="A108" t="str">
            <v>10h</v>
          </cell>
          <cell r="B108" t="str">
            <v>Reporting Limit (RL) from MassDEP Wall Experiment Station recommendation.</v>
          </cell>
        </row>
        <row r="110">
          <cell r="B110" t="str">
            <v>Chemical Characteristics and Physical Constants</v>
          </cell>
        </row>
        <row r="111">
          <cell r="A111">
            <v>11</v>
          </cell>
          <cell r="B111" t="str">
            <v>Chemical constants from United States Environmental Protection Agency (USEPA), 1986.  "Superfund Public Health Evaluation Manual";  U.S. Environmental Protection Agency;</v>
          </cell>
        </row>
        <row r="112">
          <cell r="B112" t="str">
            <v>Office of Emergency and Remedial Response, EPA/540/1-86/060 (OSWER Directive 9285.4-1); Washington, D.C., Oct</v>
          </cell>
        </row>
        <row r="114">
          <cell r="A114">
            <v>12</v>
          </cell>
          <cell r="B114" t="str">
            <v>Chemical and physical constants from U.S. Department of Defense, 1989</v>
          </cell>
        </row>
        <row r="116">
          <cell r="A116">
            <v>13</v>
          </cell>
          <cell r="B116" t="str">
            <v xml:space="preserve">Chemical and physical constants from ATSDR,  Toxicological Profiles for specific chemicals. Agency for Toxic Substances and Disease Registry, U.S. Public Health Service.  </v>
          </cell>
        </row>
        <row r="118">
          <cell r="A118">
            <v>14</v>
          </cell>
          <cell r="B118" t="str">
            <v>Log Kow based on USEPA Draft Health Advisory for Methyl t-Butyl Ether, 1989.</v>
          </cell>
        </row>
        <row r="120">
          <cell r="A120">
            <v>15</v>
          </cell>
          <cell r="B120" t="str">
            <v>Molecular Weights from Risk Reduction Engineering Laboratory (RREL) Treatability Database, Version 4.0.</v>
          </cell>
        </row>
        <row r="122">
          <cell r="A122">
            <v>16</v>
          </cell>
          <cell r="B122" t="str">
            <v>OSHA  Documentation of TLV -TWA</v>
          </cell>
        </row>
        <row r="124">
          <cell r="A124">
            <v>17</v>
          </cell>
          <cell r="B124" t="str">
            <v>Chemical Constants from USEPA Soil Screening (SSL) Guidance:  Technical Background Document, EPA/540/R95/128, May 1996</v>
          </cell>
        </row>
        <row r="125">
          <cell r="A125" t="str">
            <v>17a</v>
          </cell>
          <cell r="B125" t="str">
            <v>Measured Koc (from the SSL Guidance), Table 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DATENTER"/>
      <sheetName val="SiteCalcs"/>
      <sheetName val="ChemCalcs"/>
      <sheetName val="ChemProps"/>
      <sheetName val="SoilProp"/>
      <sheetName val="Alpha Graph"/>
      <sheetName val="Sheet1"/>
      <sheetName val="MCP GW2 alpha"/>
    </sheetNames>
    <definedNames>
      <definedName name="CCalcs" refersTo="='ChemCalcs'!$A$1:$L$129"/>
    </definedNames>
    <sheetDataSet>
      <sheetData sheetId="0"/>
      <sheetData sheetId="1"/>
      <sheetData sheetId="2"/>
      <sheetData sheetId="3">
        <row r="1">
          <cell r="A1" t="str">
            <v>Calculation</v>
          </cell>
          <cell r="B1" t="str">
            <v>Enthalpy of</v>
          </cell>
          <cell r="C1" t="str">
            <v>Henry's law</v>
          </cell>
          <cell r="D1" t="str">
            <v>Henry's law</v>
          </cell>
          <cell r="E1" t="str">
            <v>Stratum A</v>
          </cell>
          <cell r="F1" t="str">
            <v>Stratum B</v>
          </cell>
          <cell r="G1" t="str">
            <v>Stratum C</v>
          </cell>
          <cell r="H1" t="str">
            <v>Capill. Zone</v>
          </cell>
          <cell r="I1" t="str">
            <v>Total</v>
          </cell>
          <cell r="J1" t="str">
            <v>Crack</v>
          </cell>
          <cell r="K1" t="str">
            <v>Exponent of</v>
          </cell>
          <cell r="L1" t="str">
            <v>Infinite source</v>
          </cell>
        </row>
        <row r="2">
          <cell r="A2" t="str">
            <v>of the Infinite Source</v>
          </cell>
          <cell r="B2" t="str">
            <v>vaporization at</v>
          </cell>
          <cell r="C2" t="str">
            <v>constant at</v>
          </cell>
          <cell r="D2" t="str">
            <v>constant at</v>
          </cell>
          <cell r="E2" t="str">
            <v>effective</v>
          </cell>
          <cell r="F2" t="str">
            <v>effective</v>
          </cell>
          <cell r="G2" t="str">
            <v>effective</v>
          </cell>
          <cell r="H2" t="str">
            <v>effective</v>
          </cell>
          <cell r="I2" t="str">
            <v>effective</v>
          </cell>
          <cell r="J2" t="str">
            <v>effective</v>
          </cell>
          <cell r="K2" t="str">
            <v>equivalent</v>
          </cell>
          <cell r="L2" t="str">
            <v>indoor</v>
          </cell>
        </row>
        <row r="3">
          <cell r="A3" t="str">
            <v>Indoor Attenuation Coefficient</v>
          </cell>
          <cell r="B3" t="str">
            <v>ave. groundwater</v>
          </cell>
          <cell r="C3" t="str">
            <v>ave. groundwater</v>
          </cell>
          <cell r="D3" t="str">
            <v>ave. groundwater</v>
          </cell>
          <cell r="E3" t="str">
            <v>diffusion</v>
          </cell>
          <cell r="F3" t="str">
            <v>diffusion</v>
          </cell>
          <cell r="G3" t="str">
            <v>diffusion</v>
          </cell>
          <cell r="H3" t="str">
            <v>diffusion</v>
          </cell>
          <cell r="I3" t="str">
            <v>diffusion</v>
          </cell>
          <cell r="J3" t="str">
            <v>diffusion</v>
          </cell>
          <cell r="K3" t="str">
            <v>foundation</v>
          </cell>
          <cell r="L3" t="str">
            <v>attenuation</v>
          </cell>
        </row>
        <row r="4">
          <cell r="A4" t="str">
            <v>a</v>
          </cell>
          <cell r="B4" t="str">
            <v>temperature,</v>
          </cell>
          <cell r="C4" t="str">
            <v>temperature,</v>
          </cell>
          <cell r="D4" t="str">
            <v>temperature,</v>
          </cell>
          <cell r="E4" t="str">
            <v>coefficient,</v>
          </cell>
          <cell r="F4" t="str">
            <v>coefficient,</v>
          </cell>
          <cell r="G4" t="str">
            <v>coefficient,</v>
          </cell>
          <cell r="H4" t="str">
            <v>coefficient,</v>
          </cell>
          <cell r="I4" t="str">
            <v>coefficient,</v>
          </cell>
          <cell r="J4" t="str">
            <v>coefficient,</v>
          </cell>
          <cell r="K4" t="str">
            <v>Peclet #</v>
          </cell>
          <cell r="L4" t="str">
            <v>coefficient,</v>
          </cell>
        </row>
        <row r="5">
          <cell r="A5"/>
          <cell r="B5" t="str">
            <v>DHv,TS</v>
          </cell>
          <cell r="C5" t="str">
            <v>HTS</v>
          </cell>
          <cell r="D5" t="str">
            <v>H'TS</v>
          </cell>
          <cell r="E5" t="str">
            <v>DeffA</v>
          </cell>
          <cell r="F5" t="str">
            <v>DeffB</v>
          </cell>
          <cell r="G5" t="str">
            <v>DeffC</v>
          </cell>
          <cell r="H5" t="str">
            <v>Deffcz</v>
          </cell>
          <cell r="I5" t="str">
            <v>DeffT</v>
          </cell>
          <cell r="J5" t="str">
            <v>Dcrack</v>
          </cell>
          <cell r="K5" t="str">
            <v>exp(Pef)</v>
          </cell>
          <cell r="L5" t="str">
            <v>a</v>
          </cell>
        </row>
        <row r="6">
          <cell r="A6" t="str">
            <v>OIL OR HAZARDOUS MATERIAL</v>
          </cell>
          <cell r="B6" t="str">
            <v>(cal/mol)</v>
          </cell>
          <cell r="C6" t="str">
            <v>(atm-m3/mol)</v>
          </cell>
          <cell r="D6" t="str">
            <v>(unitless)</v>
          </cell>
          <cell r="E6" t="str">
            <v>(cm2/s)</v>
          </cell>
          <cell r="F6" t="str">
            <v>(cm2/s)</v>
          </cell>
          <cell r="G6" t="str">
            <v>(cm2/s)</v>
          </cell>
          <cell r="H6" t="str">
            <v>(cm2/s)</v>
          </cell>
          <cell r="I6" t="str">
            <v>(cm2/s)</v>
          </cell>
          <cell r="J6" t="str">
            <v>(cm2/s)</v>
          </cell>
          <cell r="K6" t="str">
            <v>(unitless)</v>
          </cell>
          <cell r="L6" t="str">
            <v>(unitless)</v>
          </cell>
        </row>
        <row r="7">
          <cell r="A7" t="str">
            <v>ACENAPHTHENE</v>
          </cell>
          <cell r="B7">
            <v>16122.529718377613</v>
          </cell>
          <cell r="C7">
            <v>4.352693145823551E-5</v>
          </cell>
          <cell r="D7">
            <v>1.8733113867546694E-3</v>
          </cell>
          <cell r="E7">
            <v>8.3091382781211968E-3</v>
          </cell>
          <cell r="F7">
            <v>0</v>
          </cell>
          <cell r="G7">
            <v>0</v>
          </cell>
          <cell r="H7">
            <v>9.3877065586144741E-4</v>
          </cell>
          <cell r="I7">
            <v>1.5215851623094048E-3</v>
          </cell>
          <cell r="J7">
            <v>8.3091382781211968E-3</v>
          </cell>
          <cell r="K7">
            <v>1.1172483623894029E+134</v>
          </cell>
          <cell r="L7">
            <v>6.4942366439506858E-4</v>
          </cell>
        </row>
        <row r="8">
          <cell r="A8" t="str">
            <v>ACENAPHTHYLENE</v>
          </cell>
          <cell r="B8">
            <v>16157.78121873797</v>
          </cell>
          <cell r="C8">
            <v>2.6882906164734697E-5</v>
          </cell>
          <cell r="D8">
            <v>1.1569860897677968E-3</v>
          </cell>
          <cell r="E8">
            <v>8.6652432295230494E-3</v>
          </cell>
          <cell r="F8">
            <v>0</v>
          </cell>
          <cell r="G8">
            <v>0</v>
          </cell>
          <cell r="H8">
            <v>1.0811005333265862E-3</v>
          </cell>
          <cell r="I8">
            <v>1.7379453529348336E-3</v>
          </cell>
          <cell r="J8">
            <v>8.6652432295230494E-3</v>
          </cell>
          <cell r="K8">
            <v>3.4620721623589244E+128</v>
          </cell>
          <cell r="L8">
            <v>6.8736180106105684E-4</v>
          </cell>
        </row>
        <row r="9">
          <cell r="A9" t="str">
            <v>ACETONE</v>
          </cell>
          <cell r="B9">
            <v>7558.7756462853176</v>
          </cell>
          <cell r="C9">
            <v>2.0196353380511696E-5</v>
          </cell>
          <cell r="D9">
            <v>8.6921033693670437E-4</v>
          </cell>
          <cell r="E9">
            <v>2.4473944379234874E-2</v>
          </cell>
          <cell r="F9">
            <v>0</v>
          </cell>
          <cell r="G9">
            <v>0</v>
          </cell>
          <cell r="H9">
            <v>2.8222326463063501E-3</v>
          </cell>
          <cell r="I9">
            <v>4.5668873861800397E-3</v>
          </cell>
          <cell r="J9">
            <v>2.4473944379234874E-2</v>
          </cell>
          <cell r="K9">
            <v>3.2406294597565551E+45</v>
          </cell>
          <cell r="L9">
            <v>9.2200199054822101E-4</v>
          </cell>
        </row>
        <row r="10">
          <cell r="A10" t="str">
            <v>ALDRIN</v>
          </cell>
          <cell r="B10">
            <v>18464.141779160233</v>
          </cell>
          <cell r="C10">
            <v>8.442380495963577E-6</v>
          </cell>
          <cell r="D10">
            <v>3.6334303808158267E-4</v>
          </cell>
          <cell r="E10">
            <v>2.6108211761411608E-3</v>
          </cell>
          <cell r="F10">
            <v>0</v>
          </cell>
          <cell r="G10">
            <v>0</v>
          </cell>
          <cell r="H10">
            <v>9.693491386644779E-4</v>
          </cell>
          <cell r="I10">
            <v>1.3305953353810207E-3</v>
          </cell>
          <cell r="J10">
            <v>2.6108211761411608E-3</v>
          </cell>
          <cell r="K10" t="e">
            <v>#NUM!</v>
          </cell>
          <cell r="L10">
            <v>6.1056856333372616E-4</v>
          </cell>
        </row>
        <row r="11">
          <cell r="A11" t="str">
            <v>ANTHRACENE</v>
          </cell>
          <cell r="B11">
            <v>18352.651574351337</v>
          </cell>
          <cell r="C11">
            <v>1.0774977036916459E-5</v>
          </cell>
          <cell r="D11">
            <v>4.6373329106930671E-4</v>
          </cell>
          <cell r="E11">
            <v>6.4009279292398056E-3</v>
          </cell>
          <cell r="F11">
            <v>0</v>
          </cell>
          <cell r="G11">
            <v>0</v>
          </cell>
          <cell r="H11">
            <v>1.4780400290406179E-3</v>
          </cell>
          <cell r="I11">
            <v>2.2129890068354331E-3</v>
          </cell>
          <cell r="J11">
            <v>6.4009279292398056E-3</v>
          </cell>
          <cell r="K11">
            <v>1.0229775885029053E+174</v>
          </cell>
          <cell r="L11">
            <v>7.5384352440639984E-4</v>
          </cell>
        </row>
        <row r="12">
          <cell r="A12" t="str">
            <v>ANTIMONY</v>
          </cell>
          <cell r="B12">
            <v>0</v>
          </cell>
          <cell r="C12">
            <v>0</v>
          </cell>
          <cell r="D12">
            <v>0</v>
          </cell>
          <cell r="E12">
            <v>0</v>
          </cell>
          <cell r="F12"/>
          <cell r="G12"/>
          <cell r="H12">
            <v>0</v>
          </cell>
          <cell r="I12"/>
          <cell r="J12"/>
          <cell r="K12"/>
          <cell r="L12"/>
        </row>
        <row r="13">
          <cell r="A13" t="str">
            <v>ARSENIC</v>
          </cell>
          <cell r="B13">
            <v>0</v>
          </cell>
          <cell r="C13">
            <v>0</v>
          </cell>
          <cell r="D13">
            <v>0</v>
          </cell>
          <cell r="E13">
            <v>0</v>
          </cell>
          <cell r="F13"/>
          <cell r="G13"/>
          <cell r="H13">
            <v>0</v>
          </cell>
          <cell r="I13"/>
          <cell r="J13"/>
          <cell r="K13"/>
          <cell r="L13"/>
        </row>
        <row r="14">
          <cell r="A14" t="str">
            <v>BARIUM</v>
          </cell>
          <cell r="B14">
            <v>0</v>
          </cell>
          <cell r="C14">
            <v>0</v>
          </cell>
          <cell r="D14">
            <v>0</v>
          </cell>
          <cell r="E14">
            <v>0</v>
          </cell>
          <cell r="F14"/>
          <cell r="G14"/>
          <cell r="H14">
            <v>0</v>
          </cell>
          <cell r="I14"/>
          <cell r="J14"/>
          <cell r="K14"/>
          <cell r="L14"/>
        </row>
        <row r="15">
          <cell r="A15" t="str">
            <v>BENZENE</v>
          </cell>
          <cell r="B15">
            <v>8121.9653773871232</v>
          </cell>
          <cell r="C15">
            <v>2.6847633689639021E-3</v>
          </cell>
          <cell r="D15">
            <v>0.11554680335432464</v>
          </cell>
          <cell r="E15">
            <v>1.7364348016958853E-2</v>
          </cell>
          <cell r="F15">
            <v>0</v>
          </cell>
          <cell r="G15">
            <v>0</v>
          </cell>
          <cell r="H15">
            <v>1.4878898773752047E-3</v>
          </cell>
          <cell r="I15">
            <v>2.4585792602269175E-3</v>
          </cell>
          <cell r="J15">
            <v>1.7364348016958853E-2</v>
          </cell>
          <cell r="K15">
            <v>1.3942421583941042E+64</v>
          </cell>
          <cell r="L15">
            <v>7.8146559607602053E-4</v>
          </cell>
        </row>
        <row r="16">
          <cell r="A16" t="str">
            <v>BENZO(a)ANTHRACENE</v>
          </cell>
          <cell r="B16">
            <v>21511.158441510132</v>
          </cell>
          <cell r="C16">
            <v>1.7533704678455069E-6</v>
          </cell>
          <cell r="D16">
            <v>7.5461530426650046E-5</v>
          </cell>
          <cell r="E16">
            <v>1.0118464681360271E-2</v>
          </cell>
          <cell r="F16">
            <v>0</v>
          </cell>
          <cell r="G16">
            <v>0</v>
          </cell>
          <cell r="H16">
            <v>7.5191222637796193E-3</v>
          </cell>
          <cell r="I16">
            <v>8.4572912820788312E-3</v>
          </cell>
          <cell r="J16">
            <v>1.0118464681360271E-2</v>
          </cell>
          <cell r="K16">
            <v>1.1979003652733902E+110</v>
          </cell>
          <cell r="L16">
            <v>1.0204442971658836E-3</v>
          </cell>
        </row>
        <row r="17">
          <cell r="A17" t="str">
            <v>BENZO(a)PYRENE</v>
          </cell>
          <cell r="B17">
            <v>22567.095301145255</v>
          </cell>
          <cell r="C17">
            <v>6.0758238744253013E-8</v>
          </cell>
          <cell r="D17">
            <v>2.614912116834571E-6</v>
          </cell>
          <cell r="E17">
            <v>1.0073716640559211E-2</v>
          </cell>
          <cell r="F17">
            <v>0</v>
          </cell>
          <cell r="G17">
            <v>0</v>
          </cell>
          <cell r="H17">
            <v>0.19290751985867996</v>
          </cell>
          <cell r="I17">
            <v>2.1828730591695194E-2</v>
          </cell>
          <cell r="J17">
            <v>1.0073716640559211E-2</v>
          </cell>
          <cell r="K17">
            <v>3.6931377392129764E+110</v>
          </cell>
          <cell r="L17">
            <v>1.1053051524887098E-3</v>
          </cell>
        </row>
        <row r="18">
          <cell r="A18" t="str">
            <v>BENZO(b)FLUORANTHENE</v>
          </cell>
          <cell r="B18">
            <v>22567.095301145255</v>
          </cell>
          <cell r="C18">
            <v>8.7348277582000515E-8</v>
          </cell>
          <cell r="D18">
            <v>3.7592937872216924E-6</v>
          </cell>
          <cell r="E18">
            <v>5.1422415618506846E-3</v>
          </cell>
          <cell r="F18">
            <v>0</v>
          </cell>
          <cell r="G18">
            <v>0</v>
          </cell>
          <cell r="H18">
            <v>8.2965225666148223E-2</v>
          </cell>
          <cell r="I18">
            <v>1.1010410960001339E-2</v>
          </cell>
          <cell r="J18">
            <v>5.1422415618506846E-3</v>
          </cell>
          <cell r="K18">
            <v>4.0080622807010742E+216</v>
          </cell>
          <cell r="L18">
            <v>1.0509893943233179E-3</v>
          </cell>
        </row>
        <row r="19">
          <cell r="A19" t="str">
            <v>BENZO(g,h,i)PERYLENE</v>
          </cell>
          <cell r="B19">
            <v>29103.262669450152</v>
          </cell>
          <cell r="C19">
            <v>2.4530629620006231E-8</v>
          </cell>
          <cell r="D19">
            <v>1.0557488490892554E-6</v>
          </cell>
          <cell r="E19">
            <v>3.4374316137635821E-2</v>
          </cell>
          <cell r="F19">
            <v>0</v>
          </cell>
          <cell r="G19">
            <v>0</v>
          </cell>
          <cell r="H19">
            <v>2.9890758503800572</v>
          </cell>
          <cell r="I19">
            <v>7.8417106772641701E-2</v>
          </cell>
          <cell r="J19">
            <v>3.4374316137635821E-2</v>
          </cell>
          <cell r="K19">
            <v>2.5282217223936981E+32</v>
          </cell>
          <cell r="L19">
            <v>1.1489140586834496E-3</v>
          </cell>
        </row>
        <row r="20">
          <cell r="A20" t="str">
            <v>BENZO(k)FLUORANTHENE</v>
          </cell>
          <cell r="B20">
            <v>24271.892330141894</v>
          </cell>
          <cell r="C20">
            <v>6.6665667864155393E-8</v>
          </cell>
          <cell r="D20">
            <v>2.8691559577397725E-6</v>
          </cell>
          <cell r="E20">
            <v>5.3540671299467657E-3</v>
          </cell>
          <cell r="F20">
            <v>0</v>
          </cell>
          <cell r="G20">
            <v>0</v>
          </cell>
          <cell r="H20">
            <v>0.1085864998872739</v>
          </cell>
          <cell r="I20">
            <v>1.1643491214503312E-2</v>
          </cell>
          <cell r="J20">
            <v>5.3540671299467657E-3</v>
          </cell>
          <cell r="K20">
            <v>1.0798587861375996E+208</v>
          </cell>
          <cell r="L20">
            <v>1.0566862330013945E-3</v>
          </cell>
        </row>
        <row r="21">
          <cell r="A21" t="str">
            <v>BERYLLIUM</v>
          </cell>
          <cell r="B21">
            <v>0</v>
          </cell>
          <cell r="C21">
            <v>0</v>
          </cell>
          <cell r="D21">
            <v>0</v>
          </cell>
          <cell r="E21">
            <v>0</v>
          </cell>
          <cell r="F21"/>
          <cell r="G21"/>
          <cell r="H21">
            <v>0</v>
          </cell>
          <cell r="I21"/>
          <cell r="J21"/>
          <cell r="K21"/>
          <cell r="L21"/>
        </row>
        <row r="22">
          <cell r="A22" t="str">
            <v>BIPHENYL, 1,1-</v>
          </cell>
          <cell r="B22">
            <v>14751.08507630886</v>
          </cell>
          <cell r="C22">
            <v>8.2365626658289064E-5</v>
          </cell>
          <cell r="D22">
            <v>3.5448505356782557E-3</v>
          </cell>
          <cell r="E22">
            <v>1.1307406768999197E-2</v>
          </cell>
          <cell r="F22">
            <v>0</v>
          </cell>
          <cell r="G22">
            <v>0</v>
          </cell>
          <cell r="H22">
            <v>1.0714303416066223E-3</v>
          </cell>
          <cell r="I22">
            <v>1.759042424971745E-3</v>
          </cell>
          <cell r="J22">
            <v>1.1307406768999197E-2</v>
          </cell>
          <cell r="K22">
            <v>3.1914180352066982E+98</v>
          </cell>
          <cell r="L22">
            <v>6.907654383094614E-4</v>
          </cell>
        </row>
        <row r="23">
          <cell r="A23" t="str">
            <v>BIS(2-CHLOROETHYL)ETHER</v>
          </cell>
          <cell r="B23">
            <v>11331.507805864016</v>
          </cell>
          <cell r="C23">
            <v>6.1720729609388495E-6</v>
          </cell>
          <cell r="D23">
            <v>2.6563357834451083E-4</v>
          </cell>
          <cell r="E23">
            <v>1.3667747417274336E-2</v>
          </cell>
          <cell r="F23">
            <v>0</v>
          </cell>
          <cell r="G23">
            <v>0</v>
          </cell>
          <cell r="H23">
            <v>2.7491532857017494E-3</v>
          </cell>
          <cell r="I23">
            <v>4.1969342810091346E-3</v>
          </cell>
          <cell r="J23">
            <v>1.3667747417274336E-2</v>
          </cell>
          <cell r="K23">
            <v>3.1111249246121061E+81</v>
          </cell>
          <cell r="L23">
            <v>9.0526719668757006E-4</v>
          </cell>
        </row>
        <row r="24">
          <cell r="A24" t="str">
            <v>BIS(2-CHLOROISOPROPYL)ETHER</v>
          </cell>
          <cell r="B24">
            <v>21056.810753867197</v>
          </cell>
          <cell r="C24">
            <v>5.0521177502791328E-5</v>
          </cell>
          <cell r="D24">
            <v>2.1743296372509651E-3</v>
          </cell>
          <cell r="E24">
            <v>1.1840660315704158E-2</v>
          </cell>
          <cell r="F24">
            <v>0</v>
          </cell>
          <cell r="G24">
            <v>0</v>
          </cell>
          <cell r="H24">
            <v>1.1755966770938668E-3</v>
          </cell>
          <cell r="I24">
            <v>1.9238810352810727E-3</v>
          </cell>
          <cell r="J24">
            <v>1.1840660315704158E-2</v>
          </cell>
          <cell r="K24">
            <v>1.1689031025742564E+94</v>
          </cell>
          <cell r="L24">
            <v>7.1578233960829156E-4</v>
          </cell>
        </row>
        <row r="25">
          <cell r="A25" t="str">
            <v>BIS(2-ETHYLHEXYL)PHTHALATE</v>
          </cell>
          <cell r="B25">
            <v>26779.374607066697</v>
          </cell>
          <cell r="C25">
            <v>2.4631122371079106E-8</v>
          </cell>
          <cell r="D25">
            <v>1.0600738545184056E-6</v>
          </cell>
          <cell r="E25">
            <v>8.5198570394621406E-3</v>
          </cell>
          <cell r="F25">
            <v>0</v>
          </cell>
          <cell r="G25">
            <v>0</v>
          </cell>
          <cell r="H25">
            <v>0.19337694013429077</v>
          </cell>
          <cell r="I25">
            <v>1.8649081294002588E-2</v>
          </cell>
          <cell r="J25">
            <v>8.5198570394621406E-3</v>
          </cell>
          <cell r="K25">
            <v>5.4048280527093174E+130</v>
          </cell>
          <cell r="L25">
            <v>1.0954809379585798E-3</v>
          </cell>
        </row>
        <row r="26">
          <cell r="A26" t="str">
            <v>BROMODICHLOROMETHANE</v>
          </cell>
          <cell r="B26">
            <v>7776.3830230116037</v>
          </cell>
          <cell r="C26">
            <v>1.0577141750141147E-3</v>
          </cell>
          <cell r="D26">
            <v>4.5521885913022857E-2</v>
          </cell>
          <cell r="E26">
            <v>5.8802939064657818E-3</v>
          </cell>
          <cell r="F26">
            <v>0</v>
          </cell>
          <cell r="G26">
            <v>0</v>
          </cell>
          <cell r="H26">
            <v>5.1525202549896904E-4</v>
          </cell>
          <cell r="I26">
            <v>8.5022386564850025E-4</v>
          </cell>
          <cell r="J26">
            <v>5.8802939064657818E-3</v>
          </cell>
          <cell r="K26">
            <v>2.6090752890048428E+189</v>
          </cell>
          <cell r="L26">
            <v>4.8102460373814545E-4</v>
          </cell>
        </row>
        <row r="27">
          <cell r="A27" t="str">
            <v>BROMOFORM</v>
          </cell>
          <cell r="B27">
            <v>10870.368106275013</v>
          </cell>
          <cell r="C27">
            <v>2.0241495396457047E-4</v>
          </cell>
          <cell r="D27">
            <v>8.711531583040371E-3</v>
          </cell>
          <cell r="E27">
            <v>2.9406390252455796E-3</v>
          </cell>
          <cell r="F27">
            <v>0</v>
          </cell>
          <cell r="G27">
            <v>0</v>
          </cell>
          <cell r="H27">
            <v>3.1714438008806492E-4</v>
          </cell>
          <cell r="I27">
            <v>5.1588920611334401E-4</v>
          </cell>
          <cell r="J27">
            <v>2.9406390252455796E-3</v>
          </cell>
          <cell r="K27" t="e">
            <v>#NUM!</v>
          </cell>
          <cell r="L27">
            <v>3.4834900580917434E-4</v>
          </cell>
        </row>
        <row r="28">
          <cell r="A28" t="str">
            <v>BROMOMETHANE</v>
          </cell>
          <cell r="B28">
            <v>5650.9122114010597</v>
          </cell>
          <cell r="C28">
            <v>4.4285693292518925E-3</v>
          </cell>
          <cell r="D28">
            <v>0.19059669665618936</v>
          </cell>
          <cell r="E28">
            <v>1.4365048457722367E-2</v>
          </cell>
          <cell r="F28">
            <v>0</v>
          </cell>
          <cell r="G28">
            <v>0</v>
          </cell>
          <cell r="H28">
            <v>1.2305177435954736E-3</v>
          </cell>
          <cell r="I28">
            <v>2.0333369146910774E-3</v>
          </cell>
          <cell r="J28">
            <v>1.4365048457722367E-2</v>
          </cell>
          <cell r="K28">
            <v>3.4445204435756815E+77</v>
          </cell>
          <cell r="L28">
            <v>7.3098996653657195E-4</v>
          </cell>
        </row>
        <row r="29">
          <cell r="A29" t="str">
            <v>CADMIUM</v>
          </cell>
          <cell r="B29">
            <v>0</v>
          </cell>
          <cell r="C29">
            <v>0</v>
          </cell>
          <cell r="D29">
            <v>0</v>
          </cell>
          <cell r="E29">
            <v>0</v>
          </cell>
          <cell r="F29"/>
          <cell r="G29"/>
          <cell r="H29">
            <v>0</v>
          </cell>
          <cell r="I29"/>
          <cell r="J29"/>
          <cell r="K29"/>
          <cell r="L29"/>
        </row>
        <row r="30">
          <cell r="A30" t="str">
            <v>CARBON TETRACHLORIDE</v>
          </cell>
          <cell r="B30">
            <v>7858.6273148694327</v>
          </cell>
          <cell r="C30">
            <v>1.3669350765456389E-2</v>
          </cell>
          <cell r="D30">
            <v>0.58830130175942252</v>
          </cell>
          <cell r="E30">
            <v>1.5391098852225199E-2</v>
          </cell>
          <cell r="F30">
            <v>0</v>
          </cell>
          <cell r="G30">
            <v>0</v>
          </cell>
          <cell r="H30">
            <v>1.3154490450594425E-3</v>
          </cell>
          <cell r="I30">
            <v>2.1739778309829406E-3</v>
          </cell>
          <cell r="J30">
            <v>1.5391098852225199E-2</v>
          </cell>
          <cell r="K30">
            <v>2.3340063025033968E+72</v>
          </cell>
          <cell r="L30">
            <v>7.4908704427640986E-4</v>
          </cell>
        </row>
        <row r="31">
          <cell r="A31" t="str">
            <v>CHLORDANE</v>
          </cell>
          <cell r="B31">
            <v>18237.836497741446</v>
          </cell>
          <cell r="C31">
            <v>1.3764337483530527E-5</v>
          </cell>
          <cell r="D31">
            <v>5.9238933862757338E-4</v>
          </cell>
          <cell r="E31">
            <v>2.3318014617424486E-3</v>
          </cell>
          <cell r="F31">
            <v>0</v>
          </cell>
          <cell r="G31">
            <v>0</v>
          </cell>
          <cell r="H31">
            <v>6.1078838825533079E-4</v>
          </cell>
          <cell r="I31">
            <v>8.9651537933140924E-4</v>
          </cell>
          <cell r="J31">
            <v>2.3318014617424486E-3</v>
          </cell>
          <cell r="K31" t="e">
            <v>#NUM!</v>
          </cell>
          <cell r="L31">
            <v>4.960783799783352E-4</v>
          </cell>
        </row>
        <row r="32">
          <cell r="A32" t="str">
            <v>CHLOROANILINE, p-</v>
          </cell>
          <cell r="B32">
            <v>14844.23580376553</v>
          </cell>
          <cell r="C32">
            <v>3.0763525930157594E-7</v>
          </cell>
          <cell r="D32">
            <v>1.3240001417739026E-5</v>
          </cell>
          <cell r="E32">
            <v>9.8827977619504407E-3</v>
          </cell>
          <cell r="F32">
            <v>0</v>
          </cell>
          <cell r="G32">
            <v>0</v>
          </cell>
          <cell r="H32">
            <v>4.3409423692495792E-2</v>
          </cell>
          <cell r="I32">
            <v>1.7610958759982014E-2</v>
          </cell>
          <cell r="J32">
            <v>9.8827977619504407E-3</v>
          </cell>
          <cell r="K32">
            <v>5.0509133675635277E+112</v>
          </cell>
          <cell r="L32">
            <v>1.0915547053442299E-3</v>
          </cell>
        </row>
        <row r="33">
          <cell r="A33" t="str">
            <v>CHLOROBENZENE</v>
          </cell>
          <cell r="B33">
            <v>9803.3324465783171</v>
          </cell>
          <cell r="C33">
            <v>1.2944451360147858E-3</v>
          </cell>
          <cell r="D33">
            <v>5.5710309263413339E-2</v>
          </cell>
          <cell r="E33">
            <v>1.4404555581241908E-2</v>
          </cell>
          <cell r="F33">
            <v>0</v>
          </cell>
          <cell r="G33">
            <v>0</v>
          </cell>
          <cell r="H33">
            <v>1.2390636137602472E-3</v>
          </cell>
          <cell r="I33">
            <v>2.0469349352100065E-3</v>
          </cell>
          <cell r="J33">
            <v>1.4404555581241908E-2</v>
          </cell>
          <cell r="K33">
            <v>2.1109066841910822E+77</v>
          </cell>
          <cell r="L33">
            <v>7.3280791427857215E-4</v>
          </cell>
        </row>
        <row r="34">
          <cell r="A34" t="str">
            <v>CHLOROFORM</v>
          </cell>
          <cell r="B34">
            <v>7554.2817730381175</v>
          </cell>
          <cell r="C34">
            <v>1.8677683925581317E-3</v>
          </cell>
          <cell r="D34">
            <v>8.038498649868879E-2</v>
          </cell>
          <cell r="E34">
            <v>2.052151335815728E-2</v>
          </cell>
          <cell r="F34">
            <v>0</v>
          </cell>
          <cell r="G34">
            <v>0</v>
          </cell>
          <cell r="H34">
            <v>1.7597647149052047E-3</v>
          </cell>
          <cell r="I34">
            <v>2.9076870907253998E-3</v>
          </cell>
          <cell r="J34">
            <v>2.052151335815728E-2</v>
          </cell>
          <cell r="K34">
            <v>1.8877695619677402E+54</v>
          </cell>
          <cell r="L34">
            <v>8.2345971616553336E-4</v>
          </cell>
        </row>
        <row r="35">
          <cell r="A35" t="str">
            <v>CHLOROPHENOL, 2-</v>
          </cell>
          <cell r="B35">
            <v>11735.122476436769</v>
          </cell>
          <cell r="C35">
            <v>3.92217751462077E-6</v>
          </cell>
          <cell r="D35">
            <v>1.688026137579253E-4</v>
          </cell>
          <cell r="E35">
            <v>9.9116880784514607E-3</v>
          </cell>
          <cell r="F35">
            <v>0</v>
          </cell>
          <cell r="G35">
            <v>0</v>
          </cell>
          <cell r="H35">
            <v>3.9736423659486693E-3</v>
          </cell>
          <cell r="I35">
            <v>5.3603718634867995E-3</v>
          </cell>
          <cell r="J35">
            <v>9.9116880784514607E-3</v>
          </cell>
          <cell r="K35">
            <v>2.3706379300805979E+112</v>
          </cell>
          <cell r="L35">
            <v>9.5154129270147447E-4</v>
          </cell>
        </row>
        <row r="36">
          <cell r="A36" t="str">
            <v>CHROMIUM (TOTAL)</v>
          </cell>
          <cell r="B36">
            <v>0</v>
          </cell>
          <cell r="C36">
            <v>0</v>
          </cell>
          <cell r="D36">
            <v>0</v>
          </cell>
          <cell r="E36">
            <v>0</v>
          </cell>
          <cell r="F36"/>
          <cell r="G36"/>
          <cell r="H36">
            <v>0</v>
          </cell>
          <cell r="I36"/>
          <cell r="J36"/>
          <cell r="K36"/>
          <cell r="L36"/>
        </row>
        <row r="37">
          <cell r="A37" t="str">
            <v>CHROMIUM(III)</v>
          </cell>
          <cell r="B37">
            <v>0</v>
          </cell>
          <cell r="C37">
            <v>0</v>
          </cell>
          <cell r="D37">
            <v>0</v>
          </cell>
          <cell r="E37">
            <v>0</v>
          </cell>
          <cell r="F37"/>
          <cell r="G37"/>
          <cell r="H37">
            <v>0</v>
          </cell>
          <cell r="I37"/>
          <cell r="J37"/>
          <cell r="K37"/>
          <cell r="L37"/>
        </row>
        <row r="38">
          <cell r="A38" t="str">
            <v>CHROMIUM(VI)</v>
          </cell>
          <cell r="B38">
            <v>0</v>
          </cell>
          <cell r="C38">
            <v>0</v>
          </cell>
          <cell r="D38">
            <v>0</v>
          </cell>
          <cell r="E38">
            <v>0</v>
          </cell>
          <cell r="F38"/>
          <cell r="G38"/>
          <cell r="H38">
            <v>0</v>
          </cell>
          <cell r="I38"/>
          <cell r="J38"/>
          <cell r="K38"/>
          <cell r="L38"/>
        </row>
        <row r="39">
          <cell r="A39" t="str">
            <v>CHRYSENE</v>
          </cell>
          <cell r="B39">
            <v>24451.15084318765</v>
          </cell>
          <cell r="C39">
            <v>5.8753023930024977E-7</v>
          </cell>
          <cell r="D39">
            <v>2.5286117134168198E-5</v>
          </cell>
          <cell r="E39">
            <v>5.0069526670689785E-3</v>
          </cell>
          <cell r="F39">
            <v>0</v>
          </cell>
          <cell r="G39">
            <v>0</v>
          </cell>
          <cell r="H39">
            <v>1.4131171634308874E-2</v>
          </cell>
          <cell r="I39">
            <v>7.9081762596971208E-3</v>
          </cell>
          <cell r="J39">
            <v>5.0069526670689785E-3</v>
          </cell>
          <cell r="K39">
            <v>2.8548971665102625E+222</v>
          </cell>
          <cell r="L39">
            <v>1.0116401242322747E-3</v>
          </cell>
        </row>
        <row r="40">
          <cell r="A40" t="str">
            <v>CYANIDE</v>
          </cell>
          <cell r="B40">
            <v>0</v>
          </cell>
          <cell r="C40"/>
          <cell r="D40">
            <v>0</v>
          </cell>
          <cell r="E40">
            <v>0</v>
          </cell>
          <cell r="F40"/>
          <cell r="G40"/>
          <cell r="H40">
            <v>0</v>
          </cell>
          <cell r="I40"/>
          <cell r="J40"/>
          <cell r="K40"/>
          <cell r="L40"/>
        </row>
        <row r="41">
          <cell r="A41" t="str">
            <v>DIBENZO(a,h)ANTHRACENE</v>
          </cell>
          <cell r="B41">
            <v>24621.763286734582</v>
          </cell>
          <cell r="C41">
            <v>1.3608445965230394E-8</v>
          </cell>
          <cell r="D41">
            <v>5.8568008193185791E-7</v>
          </cell>
          <cell r="E41">
            <v>8.0688669378323214E-3</v>
          </cell>
          <cell r="F41">
            <v>0</v>
          </cell>
          <cell r="G41">
            <v>0</v>
          </cell>
          <cell r="H41">
            <v>0.49419425444880449</v>
          </cell>
          <cell r="I41">
            <v>1.8292807008357777E-2</v>
          </cell>
          <cell r="J41">
            <v>8.0688669378323214E-3</v>
          </cell>
          <cell r="K41">
            <v>1.0959213497918474E+138</v>
          </cell>
          <cell r="L41">
            <v>1.0941805946240637E-3</v>
          </cell>
        </row>
        <row r="42">
          <cell r="A42" t="str">
            <v>DIBROMOCHLOROMETHANE</v>
          </cell>
          <cell r="B42">
            <v>9190.7226349231551</v>
          </cell>
          <cell r="C42">
            <v>3.4424963917099589E-4</v>
          </cell>
          <cell r="D42">
            <v>1.4815810518689737E-2</v>
          </cell>
          <cell r="E42">
            <v>3.8678323237282628E-3</v>
          </cell>
          <cell r="F42">
            <v>0</v>
          </cell>
          <cell r="G42">
            <v>0</v>
          </cell>
          <cell r="H42">
            <v>3.6991130711567984E-4</v>
          </cell>
          <cell r="I42">
            <v>6.0692936501122099E-4</v>
          </cell>
          <cell r="J42">
            <v>3.8678323237282628E-3</v>
          </cell>
          <cell r="K42">
            <v>9.3600165658415278E+287</v>
          </cell>
          <cell r="L42">
            <v>3.893095341318103E-4</v>
          </cell>
        </row>
        <row r="43">
          <cell r="A43" t="str">
            <v>DICHLOROBENZENE, 1,2-  (o-DCB)</v>
          </cell>
          <cell r="B43">
            <v>11686.869104331641</v>
          </cell>
          <cell r="C43">
            <v>6.7528047965332238E-4</v>
          </cell>
          <cell r="D43">
            <v>2.9062710588765327E-2</v>
          </cell>
          <cell r="E43">
            <v>1.3615322208888777E-2</v>
          </cell>
          <cell r="F43">
            <v>0</v>
          </cell>
          <cell r="G43">
            <v>0</v>
          </cell>
          <cell r="H43">
            <v>1.1781057886613518E-3</v>
          </cell>
          <cell r="I43">
            <v>1.9455259963692482E-3</v>
          </cell>
          <cell r="J43">
            <v>1.3615322208888777E-2</v>
          </cell>
          <cell r="K43">
            <v>6.4077033685809146E+81</v>
          </cell>
          <cell r="L43">
            <v>7.1887329263312625E-4</v>
          </cell>
        </row>
        <row r="44">
          <cell r="A44" t="str">
            <v>DICHLOROBENZENE, 1,3-  (m-DCB)</v>
          </cell>
          <cell r="B44">
            <v>12572.686357634708</v>
          </cell>
          <cell r="C44">
            <v>8.545573738653595E-4</v>
          </cell>
          <cell r="D44">
            <v>3.6778426722618329E-2</v>
          </cell>
          <cell r="E44">
            <v>1.3417977078473338E-2</v>
          </cell>
          <cell r="F44">
            <v>0</v>
          </cell>
          <cell r="G44">
            <v>0</v>
          </cell>
          <cell r="H44">
            <v>1.1584167364037216E-3</v>
          </cell>
          <cell r="I44">
            <v>1.91327717452708E-3</v>
          </cell>
          <cell r="J44">
            <v>1.3417977078473338E-2</v>
          </cell>
          <cell r="K44">
            <v>1.0230006084448159E+83</v>
          </cell>
          <cell r="L44">
            <v>7.1425245683922277E-4</v>
          </cell>
        </row>
        <row r="45">
          <cell r="A45" t="str">
            <v>DICHLOROBENZENE, 1,4-  (p-DCB)</v>
          </cell>
          <cell r="B45">
            <v>11243.213968328466</v>
          </cell>
          <cell r="C45">
            <v>8.8191705711326276E-4</v>
          </cell>
          <cell r="D45">
            <v>3.7955932336940716E-2</v>
          </cell>
          <cell r="E45">
            <v>1.3615292806867713E-2</v>
          </cell>
          <cell r="F45">
            <v>0</v>
          </cell>
          <cell r="G45">
            <v>0</v>
          </cell>
          <cell r="H45">
            <v>1.174549479330562E-3</v>
          </cell>
          <cell r="I45">
            <v>1.9400141948578229E-3</v>
          </cell>
          <cell r="J45">
            <v>1.3615292806867713E-2</v>
          </cell>
          <cell r="K45">
            <v>6.4103103954438211E+81</v>
          </cell>
          <cell r="L45">
            <v>7.1809022277821483E-4</v>
          </cell>
        </row>
        <row r="46">
          <cell r="A46" t="str">
            <v>DICHLOROBENZIDINE, 3,3'-</v>
          </cell>
          <cell r="B46">
            <v>18708.935233764576</v>
          </cell>
          <cell r="C46">
            <v>5.3311993490330188E-12</v>
          </cell>
          <cell r="D46">
            <v>2.2944407315239418E-10</v>
          </cell>
          <cell r="E46">
            <v>13.56476838238353</v>
          </cell>
          <cell r="F46">
            <v>0</v>
          </cell>
          <cell r="G46">
            <v>0</v>
          </cell>
          <cell r="H46">
            <v>1640.2582727415763</v>
          </cell>
          <cell r="I46">
            <v>31.075006868605229</v>
          </cell>
          <cell r="J46">
            <v>13.56476838238353</v>
          </cell>
          <cell r="K46">
            <v>1.2081241992582918</v>
          </cell>
          <cell r="L46">
            <v>6.733045551759396E-3</v>
          </cell>
        </row>
        <row r="47">
          <cell r="A47" t="str">
            <v>DICHLORODIPHENYL DICHLOROETHANE, P,P'- (DDD)</v>
          </cell>
          <cell r="B47">
            <v>20693.094137985598</v>
          </cell>
          <cell r="C47">
            <v>1.0375354089072241E-6</v>
          </cell>
          <cell r="D47">
            <v>4.4653432496889723E-5</v>
          </cell>
          <cell r="E47">
            <v>3.3839472107459155E-3</v>
          </cell>
          <cell r="F47">
            <v>0</v>
          </cell>
          <cell r="G47">
            <v>0</v>
          </cell>
          <cell r="H47">
            <v>6.2370835104247138E-3</v>
          </cell>
          <cell r="I47">
            <v>4.5723651480061439E-3</v>
          </cell>
          <cell r="J47">
            <v>3.3839472107459155E-3</v>
          </cell>
          <cell r="K47" t="e">
            <v>#NUM!</v>
          </cell>
          <cell r="L47">
            <v>9.2223369389128542E-4</v>
          </cell>
        </row>
        <row r="48">
          <cell r="A48" t="str">
            <v>DICHLORODIPHENYLDICHLOROETHYLENE,P,P'- (DDE)</v>
          </cell>
          <cell r="B48">
            <v>19166.482312042761</v>
          </cell>
          <cell r="C48">
            <v>7.4960545302321778E-6</v>
          </cell>
          <cell r="D48">
            <v>3.226150761555916E-4</v>
          </cell>
          <cell r="E48">
            <v>2.8498319901713114E-3</v>
          </cell>
          <cell r="F48">
            <v>0</v>
          </cell>
          <cell r="G48">
            <v>0</v>
          </cell>
          <cell r="H48">
            <v>1.2586718070950367E-3</v>
          </cell>
          <cell r="I48">
            <v>1.6585456535927441E-3</v>
          </cell>
          <cell r="J48">
            <v>2.8498319901713114E-3</v>
          </cell>
          <cell r="K48" t="e">
            <v>#NUM!</v>
          </cell>
          <cell r="L48">
            <v>6.7410359194544709E-4</v>
          </cell>
        </row>
        <row r="49">
          <cell r="A49" t="str">
            <v>DICHLORODIPHENYLTRICHLOROETHANE, P,P'- (DDT)</v>
          </cell>
          <cell r="B49">
            <v>15567.143243589468</v>
          </cell>
          <cell r="C49">
            <v>2.0683782747866693E-6</v>
          </cell>
          <cell r="D49">
            <v>8.9018831432941057E-5</v>
          </cell>
          <cell r="E49">
            <v>2.7289774231687878E-3</v>
          </cell>
          <cell r="F49">
            <v>0</v>
          </cell>
          <cell r="G49">
            <v>0</v>
          </cell>
          <cell r="H49">
            <v>3.3358343632315882E-3</v>
          </cell>
          <cell r="I49">
            <v>3.0435732322818374E-3</v>
          </cell>
          <cell r="J49">
            <v>2.7289774231687878E-3</v>
          </cell>
          <cell r="K49" t="e">
            <v>#NUM!</v>
          </cell>
          <cell r="L49">
            <v>8.3441914396735473E-4</v>
          </cell>
        </row>
        <row r="50">
          <cell r="A50" t="str">
            <v>DICHLOROETHANE, 1,1-</v>
          </cell>
          <cell r="B50">
            <v>7450.1401367362769</v>
          </cell>
          <cell r="C50">
            <v>2.886936520846403E-3</v>
          </cell>
          <cell r="D50">
            <v>0.12424792826318638</v>
          </cell>
          <cell r="E50">
            <v>1.464130853141455E-2</v>
          </cell>
          <cell r="F50">
            <v>0</v>
          </cell>
          <cell r="G50">
            <v>0</v>
          </cell>
          <cell r="H50">
            <v>1.2552872905668294E-3</v>
          </cell>
          <cell r="I50">
            <v>2.0741550115920718E-3</v>
          </cell>
          <cell r="J50">
            <v>1.464130853141455E-2</v>
          </cell>
          <cell r="K50">
            <v>1.1860870751464964E+76</v>
          </cell>
          <cell r="L50">
            <v>7.364018194556788E-4</v>
          </cell>
        </row>
        <row r="51">
          <cell r="A51" t="str">
            <v>DICHLOROETHANE, 1,2-</v>
          </cell>
          <cell r="B51">
            <v>8522.3588983360696</v>
          </cell>
          <cell r="C51">
            <v>5.5074075104790765E-4</v>
          </cell>
          <cell r="D51">
            <v>2.3702771721406512E-2</v>
          </cell>
          <cell r="E51">
            <v>2.0521648744970273E-2</v>
          </cell>
          <cell r="F51">
            <v>0</v>
          </cell>
          <cell r="G51">
            <v>0</v>
          </cell>
          <cell r="H51">
            <v>1.7761403710301301E-3</v>
          </cell>
          <cell r="I51">
            <v>2.933076079272374E-3</v>
          </cell>
          <cell r="J51">
            <v>2.0521648744970273E-2</v>
          </cell>
          <cell r="K51">
            <v>1.886213749725013E+54</v>
          </cell>
          <cell r="L51">
            <v>8.2556196420692984E-4</v>
          </cell>
        </row>
        <row r="52">
          <cell r="A52" t="str">
            <v>DICHLOROETHYLENE, 1,1-</v>
          </cell>
          <cell r="B52">
            <v>6392.2297984360903</v>
          </cell>
          <cell r="C52">
            <v>1.4737422169752271E-2</v>
          </cell>
          <cell r="D52">
            <v>0.63426894194224459</v>
          </cell>
          <cell r="E52">
            <v>1.7758959815813012E-2</v>
          </cell>
          <cell r="F52">
            <v>0</v>
          </cell>
          <cell r="G52">
            <v>0</v>
          </cell>
          <cell r="H52">
            <v>1.5177776458583029E-3</v>
          </cell>
          <cell r="I52">
            <v>2.508361194354079E-3</v>
          </cell>
          <cell r="J52">
            <v>1.7758959815813012E-2</v>
          </cell>
          <cell r="K52">
            <v>5.2362836121798899E+62</v>
          </cell>
          <cell r="L52">
            <v>7.8662013615010077E-4</v>
          </cell>
        </row>
        <row r="53">
          <cell r="A53" t="str">
            <v>DICHLOROETHYLENE, CIS-1,2-</v>
          </cell>
          <cell r="B53">
            <v>7734.3234255939606</v>
          </cell>
          <cell r="C53">
            <v>2.0432704685895073E-3</v>
          </cell>
          <cell r="D53">
            <v>8.7938242067465033E-2</v>
          </cell>
          <cell r="E53">
            <v>1.4522935824516319E-2</v>
          </cell>
          <cell r="F53">
            <v>0</v>
          </cell>
          <cell r="G53">
            <v>0</v>
          </cell>
          <cell r="H53">
            <v>1.2476312317996798E-3</v>
          </cell>
          <cell r="I53">
            <v>2.0612522011840338E-3</v>
          </cell>
          <cell r="J53">
            <v>1.4522935824516319E-2</v>
          </cell>
          <cell r="K53">
            <v>4.9451229166640865E+76</v>
          </cell>
          <cell r="L53">
            <v>7.3470569486148421E-4</v>
          </cell>
        </row>
        <row r="54">
          <cell r="A54" t="str">
            <v>DICHLOROETHYLENE, TRANS-1,2-</v>
          </cell>
          <cell r="B54">
            <v>7136.3658998117171</v>
          </cell>
          <cell r="C54">
            <v>4.9555063617609686E-3</v>
          </cell>
          <cell r="D54">
            <v>0.21327500431610596</v>
          </cell>
          <cell r="E54">
            <v>1.3950669356040323E-2</v>
          </cell>
          <cell r="F54">
            <v>0</v>
          </cell>
          <cell r="G54">
            <v>0</v>
          </cell>
          <cell r="H54">
            <v>1.1946949948037696E-3</v>
          </cell>
          <cell r="I54">
            <v>1.9741755487266291E-3</v>
          </cell>
          <cell r="J54">
            <v>1.3950669356040323E-2</v>
          </cell>
          <cell r="K54">
            <v>6.9219311253984385E+79</v>
          </cell>
          <cell r="L54">
            <v>7.2289993527140854E-4</v>
          </cell>
        </row>
        <row r="55">
          <cell r="A55" t="str">
            <v>DICHLOROMETHANE</v>
          </cell>
          <cell r="B55">
            <v>7033.6909945008019</v>
          </cell>
          <cell r="C55">
            <v>1.7328284389478076E-3</v>
          </cell>
          <cell r="D55">
            <v>7.4577442912279163E-2</v>
          </cell>
          <cell r="E55">
            <v>1.9929563278643116E-2</v>
          </cell>
          <cell r="F55">
            <v>0</v>
          </cell>
          <cell r="G55">
            <v>0</v>
          </cell>
          <cell r="H55">
            <v>1.7110164035073333E-3</v>
          </cell>
          <cell r="I55">
            <v>2.826935783730508E-3</v>
          </cell>
          <cell r="J55">
            <v>1.9929563278643116E-2</v>
          </cell>
          <cell r="K55">
            <v>7.7278588826848816E+55</v>
          </cell>
          <cell r="L55">
            <v>8.1659766487342873E-4</v>
          </cell>
        </row>
        <row r="56">
          <cell r="A56" t="str">
            <v>DICHLOROPHENOL, 2,4-</v>
          </cell>
          <cell r="B56">
            <v>14052.625504657235</v>
          </cell>
          <cell r="C56">
            <v>1.5684440286221054E-6</v>
          </cell>
          <cell r="D56">
            <v>6.7502669264070939E-5</v>
          </cell>
          <cell r="E56">
            <v>6.8873076214767317E-3</v>
          </cell>
          <cell r="F56">
            <v>0</v>
          </cell>
          <cell r="G56">
            <v>0</v>
          </cell>
          <cell r="H56">
            <v>7.8376535314218579E-3</v>
          </cell>
          <cell r="I56">
            <v>7.3969123554344192E-3</v>
          </cell>
          <cell r="J56">
            <v>6.8873076214767317E-3</v>
          </cell>
          <cell r="K56">
            <v>5.264282619460421E+161</v>
          </cell>
          <cell r="L56">
            <v>1.0024331420827913E-3</v>
          </cell>
        </row>
        <row r="57">
          <cell r="A57" t="str">
            <v>DICHLOROPROPANE, 1,2-</v>
          </cell>
          <cell r="B57">
            <v>8631.8246855112029</v>
          </cell>
          <cell r="C57">
            <v>1.3033576579487153E-3</v>
          </cell>
          <cell r="D57">
            <v>5.6093886241256372E-2</v>
          </cell>
          <cell r="E57">
            <v>1.5430628131613319E-2</v>
          </cell>
          <cell r="F57">
            <v>0</v>
          </cell>
          <cell r="G57">
            <v>0</v>
          </cell>
          <cell r="H57">
            <v>1.3266747691693397E-3</v>
          </cell>
          <cell r="I57">
            <v>2.1917346008601419E-3</v>
          </cell>
          <cell r="J57">
            <v>1.5430628131613319E-2</v>
          </cell>
          <cell r="K57">
            <v>1.5230482403693423E+72</v>
          </cell>
          <cell r="L57">
            <v>7.512655774963914E-4</v>
          </cell>
        </row>
        <row r="58">
          <cell r="A58" t="str">
            <v>DICHLOROPROPENE, 1,3-</v>
          </cell>
          <cell r="B58">
            <v>8064.746667733848</v>
          </cell>
          <cell r="C58">
            <v>1.7260893142196571E-3</v>
          </cell>
          <cell r="D58">
            <v>7.428740456895791E-2</v>
          </cell>
          <cell r="E58">
            <v>1.2352400038682734E-2</v>
          </cell>
          <cell r="F58">
            <v>0</v>
          </cell>
          <cell r="G58">
            <v>0</v>
          </cell>
          <cell r="H58">
            <v>1.0625783173509333E-3</v>
          </cell>
          <cell r="I58">
            <v>1.7553770286299877E-3</v>
          </cell>
          <cell r="J58">
            <v>1.2352400038682734E-2</v>
          </cell>
          <cell r="K58">
            <v>1.4815092196380561E+90</v>
          </cell>
          <cell r="L58">
            <v>6.901775657686208E-4</v>
          </cell>
        </row>
        <row r="59">
          <cell r="A59" t="str">
            <v>DIELDRIN</v>
          </cell>
          <cell r="B59">
            <v>18747.179330015915</v>
          </cell>
          <cell r="C59">
            <v>1.8707748035831777E-6</v>
          </cell>
          <cell r="D59">
            <v>8.0514376368771566E-5</v>
          </cell>
          <cell r="E59">
            <v>2.4936987802712095E-3</v>
          </cell>
          <cell r="F59">
            <v>0</v>
          </cell>
          <cell r="G59">
            <v>0</v>
          </cell>
          <cell r="H59">
            <v>3.4979349147989027E-3</v>
          </cell>
          <cell r="I59">
            <v>2.9797623610577136E-3</v>
          </cell>
          <cell r="J59">
            <v>2.4936987802712095E-3</v>
          </cell>
          <cell r="K59" t="e">
            <v>#NUM!</v>
          </cell>
          <cell r="L59">
            <v>8.293611911206083E-4</v>
          </cell>
        </row>
        <row r="60">
          <cell r="A60" t="str">
            <v>DIETHYL PHTHALATE</v>
          </cell>
          <cell r="B60">
            <v>19981.580466829353</v>
          </cell>
          <cell r="C60">
            <v>1.0219222873191111E-7</v>
          </cell>
          <cell r="D60">
            <v>4.3981475217248698E-6</v>
          </cell>
          <cell r="E60">
            <v>5.7179514688059999E-3</v>
          </cell>
          <cell r="F60">
            <v>0</v>
          </cell>
          <cell r="G60">
            <v>0</v>
          </cell>
          <cell r="H60">
            <v>8.1049650603986403E-2</v>
          </cell>
          <cell r="I60">
            <v>1.2116801807780856E-2</v>
          </cell>
          <cell r="J60">
            <v>5.7179514688059999E-3</v>
          </cell>
          <cell r="K60">
            <v>6.2279505710044568E+194</v>
          </cell>
          <cell r="L60">
            <v>1.0605918247475019E-3</v>
          </cell>
        </row>
        <row r="61">
          <cell r="A61" t="str">
            <v>DIMETHYL PHTHALATE</v>
          </cell>
          <cell r="B61">
            <v>6858.6797782498488</v>
          </cell>
          <cell r="C61">
            <v>1.0669261405396609E-7</v>
          </cell>
          <cell r="D61">
            <v>4.5918350339419542E-6</v>
          </cell>
          <cell r="E61">
            <v>1.1841247241192305E-2</v>
          </cell>
          <cell r="F61">
            <v>0</v>
          </cell>
          <cell r="G61">
            <v>0</v>
          </cell>
          <cell r="H61">
            <v>7.7566939372858579E-2</v>
          </cell>
          <cell r="I61">
            <v>2.2835043695184066E-2</v>
          </cell>
          <cell r="J61">
            <v>1.1841247241192305E-2</v>
          </cell>
          <cell r="K61">
            <v>1.1564208949034513E+94</v>
          </cell>
          <cell r="L61">
            <v>1.1078731378641568E-3</v>
          </cell>
        </row>
        <row r="62">
          <cell r="A62" t="str">
            <v>DIMETHYLPHENOL, 2,4-</v>
          </cell>
          <cell r="B62">
            <v>14552.290240350119</v>
          </cell>
          <cell r="C62">
            <v>2.3847224119144138E-7</v>
          </cell>
          <cell r="D62">
            <v>1.0263364539663846E-5</v>
          </cell>
          <cell r="E62">
            <v>1.1914460783043255E-2</v>
          </cell>
          <cell r="F62">
            <v>0</v>
          </cell>
          <cell r="G62">
            <v>0</v>
          </cell>
          <cell r="H62">
            <v>4.8262277447636705E-2</v>
          </cell>
          <cell r="I62">
            <v>2.0826394212294923E-2</v>
          </cell>
          <cell r="J62">
            <v>1.1914460783043255E-2</v>
          </cell>
          <cell r="K62">
            <v>3.0556566563523893E+93</v>
          </cell>
          <cell r="L62">
            <v>1.1025141846809912E-3</v>
          </cell>
        </row>
        <row r="63">
          <cell r="A63" t="str">
            <v>DINITROPHENOL, 2,4-</v>
          </cell>
          <cell r="B63">
            <v>21649.828795008812</v>
          </cell>
          <cell r="C63">
            <v>1.2410981666211692E-8</v>
          </cell>
          <cell r="D63">
            <v>5.3414363239517675E-7</v>
          </cell>
          <cell r="E63">
            <v>1.3217155018406528E-2</v>
          </cell>
          <cell r="F63">
            <v>0</v>
          </cell>
          <cell r="G63">
            <v>0</v>
          </cell>
          <cell r="H63">
            <v>0.94756753621953149</v>
          </cell>
          <cell r="I63">
            <v>3.0056512208917516E-2</v>
          </cell>
          <cell r="J63">
            <v>1.3217155018406528E-2</v>
          </cell>
          <cell r="K63">
            <v>1.866946001258085E+84</v>
          </cell>
          <cell r="L63">
            <v>1.1214523150545081E-3</v>
          </cell>
        </row>
        <row r="64">
          <cell r="A64" t="str">
            <v>DINITROTOLUENE, 2,4-</v>
          </cell>
          <cell r="B64">
            <v>19182.606564379479</v>
          </cell>
          <cell r="C64">
            <v>9.7164370133889202E-9</v>
          </cell>
          <cell r="D64">
            <v>4.1817586230104226E-7</v>
          </cell>
          <cell r="E64">
            <v>4.7850161465399076E-2</v>
          </cell>
          <cell r="F64">
            <v>0</v>
          </cell>
          <cell r="G64">
            <v>0</v>
          </cell>
          <cell r="H64">
            <v>0.94612425439564474</v>
          </cell>
          <cell r="I64">
            <v>0.10389697703802611</v>
          </cell>
          <cell r="J64">
            <v>4.7850161465399076E-2</v>
          </cell>
          <cell r="K64">
            <v>1.893837933900026E+23</v>
          </cell>
          <cell r="L64">
            <v>1.1532183344443534E-3</v>
          </cell>
        </row>
        <row r="65">
          <cell r="A65" t="str">
            <v>DIOXANE, 1,4-</v>
          </cell>
          <cell r="B65">
            <v>8757.6960285734785</v>
          </cell>
          <cell r="C65">
            <v>2.1936532581617159E-6</v>
          </cell>
          <cell r="D65">
            <v>9.4410414183430919E-5</v>
          </cell>
          <cell r="E65">
            <v>4.5432886595817075E-2</v>
          </cell>
          <cell r="F65">
            <v>0</v>
          </cell>
          <cell r="G65">
            <v>0</v>
          </cell>
          <cell r="H65">
            <v>9.7908049100826032E-3</v>
          </cell>
          <cell r="I65">
            <v>1.4806760917748404E-2</v>
          </cell>
          <cell r="J65">
            <v>4.5432886595817075E-2</v>
          </cell>
          <cell r="K65">
            <v>3.2796169977389007E+24</v>
          </cell>
          <cell r="L65">
            <v>1.0784051650153535E-3</v>
          </cell>
        </row>
        <row r="66">
          <cell r="A66" t="str">
            <v>ENDOSULFAN</v>
          </cell>
          <cell r="B66">
            <v>20240.004003413062</v>
          </cell>
          <cell r="C66">
            <v>1.0640608264463283E-5</v>
          </cell>
          <cell r="D66">
            <v>4.5795032996849252E-4</v>
          </cell>
          <cell r="E66">
            <v>2.2737861477573193E-3</v>
          </cell>
          <cell r="F66">
            <v>0</v>
          </cell>
          <cell r="G66">
            <v>0</v>
          </cell>
          <cell r="H66">
            <v>7.4860295424033249E-4</v>
          </cell>
          <cell r="I66">
            <v>1.0538506426569386E-3</v>
          </cell>
          <cell r="J66">
            <v>2.2737861477573193E-3</v>
          </cell>
          <cell r="K66" t="e">
            <v>#NUM!</v>
          </cell>
          <cell r="L66">
            <v>5.426447855095579E-4</v>
          </cell>
        </row>
        <row r="67">
          <cell r="A67" t="str">
            <v>ENDRIN</v>
          </cell>
          <cell r="B67">
            <v>17818.744904588384</v>
          </cell>
          <cell r="C67">
            <v>1.2927989776202322E-6</v>
          </cell>
          <cell r="D67">
            <v>5.5639461924499086E-5</v>
          </cell>
          <cell r="E67">
            <v>2.505849173548957E-3</v>
          </cell>
          <cell r="F67">
            <v>0</v>
          </cell>
          <cell r="G67">
            <v>0</v>
          </cell>
          <cell r="H67">
            <v>4.967580722251592E-3</v>
          </cell>
          <cell r="I67">
            <v>3.4879413904485399E-3</v>
          </cell>
          <cell r="J67">
            <v>2.505849173548957E-3</v>
          </cell>
          <cell r="K67" t="e">
            <v>#NUM!</v>
          </cell>
          <cell r="L67">
            <v>8.6583334982876967E-4</v>
          </cell>
        </row>
        <row r="68">
          <cell r="A68" t="str">
            <v>ETHYLBENZENE</v>
          </cell>
          <cell r="B68">
            <v>10155.250105678482</v>
          </cell>
          <cell r="C68">
            <v>3.17822057436389E-3</v>
          </cell>
          <cell r="D68">
            <v>0.13678420674534716</v>
          </cell>
          <cell r="E68">
            <v>1.4799153196754782E-2</v>
          </cell>
          <cell r="F68">
            <v>0</v>
          </cell>
          <cell r="G68">
            <v>0</v>
          </cell>
          <cell r="H68">
            <v>1.2672358420483148E-3</v>
          </cell>
          <cell r="I68">
            <v>2.0940579838585206E-3</v>
          </cell>
          <cell r="J68">
            <v>1.4799153196754782E-2</v>
          </cell>
          <cell r="K68">
            <v>1.8311587436484342E+75</v>
          </cell>
          <cell r="L68">
            <v>7.3899218013847093E-4</v>
          </cell>
        </row>
        <row r="69">
          <cell r="A69" t="str">
            <v>ETHYLENE DIBROMIDE</v>
          </cell>
          <cell r="B69">
            <v>10532.901083148088</v>
          </cell>
          <cell r="C69">
            <v>2.5345827364441699E-4</v>
          </cell>
          <cell r="D69">
            <v>1.0908333167038166E-2</v>
          </cell>
          <cell r="E69">
            <v>4.2826847932784188E-3</v>
          </cell>
          <cell r="F69">
            <v>0</v>
          </cell>
          <cell r="G69">
            <v>0</v>
          </cell>
          <cell r="H69">
            <v>4.6299007115321384E-4</v>
          </cell>
          <cell r="I69">
            <v>7.5299519655416456E-4</v>
          </cell>
          <cell r="J69">
            <v>4.2826847932784188E-3</v>
          </cell>
          <cell r="K69">
            <v>1.1919350131355898E+260</v>
          </cell>
          <cell r="L69">
            <v>4.4709683863520806E-4</v>
          </cell>
        </row>
        <row r="70">
          <cell r="A70" t="str">
            <v>FLUORANTHENE</v>
          </cell>
          <cell r="B70">
            <v>20104.09450977101</v>
          </cell>
          <cell r="C70">
            <v>1.4681295183697304E-6</v>
          </cell>
          <cell r="D70">
            <v>6.3185334960530544E-5</v>
          </cell>
          <cell r="E70">
            <v>6.0055093400242432E-3</v>
          </cell>
          <cell r="F70">
            <v>0</v>
          </cell>
          <cell r="G70">
            <v>0</v>
          </cell>
          <cell r="H70">
            <v>6.1205892254952241E-3</v>
          </cell>
          <cell r="I70">
            <v>6.0703590290385467E-3</v>
          </cell>
          <cell r="J70">
            <v>6.0055093400242432E-3</v>
          </cell>
          <cell r="K70">
            <v>2.9318050095470156E+185</v>
          </cell>
          <cell r="L70">
            <v>9.7251536849307131E-4</v>
          </cell>
        </row>
        <row r="71">
          <cell r="A71" t="str">
            <v>FLUORENE</v>
          </cell>
          <cell r="B71">
            <v>16235.377918070719</v>
          </cell>
          <cell r="C71">
            <v>2.252855057925581E-5</v>
          </cell>
          <cell r="D71">
            <v>9.6958340304077186E-4</v>
          </cell>
          <cell r="E71">
            <v>7.1665292761496288E-3</v>
          </cell>
          <cell r="F71">
            <v>0</v>
          </cell>
          <cell r="G71">
            <v>0</v>
          </cell>
          <cell r="H71">
            <v>1.065606943895815E-3</v>
          </cell>
          <cell r="I71">
            <v>1.6850476194660089E-3</v>
          </cell>
          <cell r="J71">
            <v>7.1665292761496288E-3</v>
          </cell>
          <cell r="K71">
            <v>2.6324931504069457E+155</v>
          </cell>
          <cell r="L71">
            <v>6.7860971152405814E-4</v>
          </cell>
        </row>
        <row r="72">
          <cell r="A72" t="str">
            <v>HEPTACHLOR</v>
          </cell>
          <cell r="B72">
            <v>18360.414651187839</v>
          </cell>
          <cell r="C72">
            <v>5.6936064037091485E-5</v>
          </cell>
          <cell r="D72">
            <v>2.4504134223203118E-3</v>
          </cell>
          <cell r="E72">
            <v>2.2110749088656207E-3</v>
          </cell>
          <cell r="F72">
            <v>0</v>
          </cell>
          <cell r="G72">
            <v>0</v>
          </cell>
          <cell r="H72">
            <v>3.184238599961358E-4</v>
          </cell>
          <cell r="I72">
            <v>5.0513857953112266E-4</v>
          </cell>
          <cell r="J72">
            <v>2.2110749088656207E-3</v>
          </cell>
          <cell r="K72" t="e">
            <v>#NUM!</v>
          </cell>
          <cell r="L72">
            <v>3.4322536975062509E-4</v>
          </cell>
        </row>
        <row r="73">
          <cell r="A73" t="str">
            <v>HEPTACHLOR EPOXIDE</v>
          </cell>
          <cell r="B73">
            <v>18641.855480605034</v>
          </cell>
          <cell r="C73">
            <v>3.9657987829612005E-6</v>
          </cell>
          <cell r="D73">
            <v>1.7067998521392186E-4</v>
          </cell>
          <cell r="E73">
            <v>2.6160873436290974E-3</v>
          </cell>
          <cell r="F73">
            <v>0</v>
          </cell>
          <cell r="G73">
            <v>0</v>
          </cell>
          <cell r="H73">
            <v>1.6063162551251211E-3</v>
          </cell>
          <cell r="I73">
            <v>1.9275998055908081E-3</v>
          </cell>
          <cell r="J73">
            <v>2.6160873436290974E-3</v>
          </cell>
          <cell r="K73" t="e">
            <v>#NUM!</v>
          </cell>
          <cell r="L73">
            <v>7.1631642127834624E-4</v>
          </cell>
        </row>
        <row r="74">
          <cell r="A74" t="str">
            <v>HEXACHLOROBENZENE</v>
          </cell>
          <cell r="B74">
            <v>20033.6909638133</v>
          </cell>
          <cell r="C74">
            <v>2.8347413302317367E-4</v>
          </cell>
          <cell r="D74">
            <v>1.2200155247613823E-2</v>
          </cell>
          <cell r="E74">
            <v>1.0695059315507254E-2</v>
          </cell>
          <cell r="F74">
            <v>0</v>
          </cell>
          <cell r="G74">
            <v>0</v>
          </cell>
          <cell r="H74">
            <v>9.4053705383923892E-4</v>
          </cell>
          <cell r="I74">
            <v>1.5516407439479618E-3</v>
          </cell>
          <cell r="J74">
            <v>1.0695059315507254E-2</v>
          </cell>
          <cell r="K74">
            <v>1.3926633867554832E+104</v>
          </cell>
          <cell r="L74">
            <v>6.5504911336640177E-4</v>
          </cell>
        </row>
        <row r="75">
          <cell r="A75" t="str">
            <v>HEXACHLOROBUTADIENE</v>
          </cell>
          <cell r="B75">
            <v>12712.208716712346</v>
          </cell>
          <cell r="C75">
            <v>3.3052541494852884E-3</v>
          </cell>
          <cell r="D75">
            <v>0.14225147573956531</v>
          </cell>
          <cell r="E75">
            <v>1.1069766891031198E-2</v>
          </cell>
          <cell r="F75">
            <v>0</v>
          </cell>
          <cell r="G75">
            <v>0</v>
          </cell>
          <cell r="H75">
            <v>9.4792867912812744E-4</v>
          </cell>
          <cell r="I75">
            <v>1.5664116459179758E-3</v>
          </cell>
          <cell r="J75">
            <v>1.1069766891031198E-2</v>
          </cell>
          <cell r="K75">
            <v>4.1554198962725022E+100</v>
          </cell>
          <cell r="L75">
            <v>6.5776915042465754E-4</v>
          </cell>
        </row>
        <row r="76">
          <cell r="A76" t="str">
            <v>HEXACHLOROCYCLOHEXANE, GAMMA (gamma-HCH)</v>
          </cell>
          <cell r="B76">
            <v>18261.311472461672</v>
          </cell>
          <cell r="C76">
            <v>1.0042724320206151E-6</v>
          </cell>
          <cell r="D76">
            <v>4.3221861024436379E-5</v>
          </cell>
          <cell r="E76">
            <v>2.8803650041185577E-3</v>
          </cell>
          <cell r="F76">
            <v>0</v>
          </cell>
          <cell r="G76">
            <v>0</v>
          </cell>
          <cell r="H76">
            <v>9.7218018760124071E-3</v>
          </cell>
          <cell r="I76">
            <v>4.7993406756677943E-3</v>
          </cell>
          <cell r="J76">
            <v>2.8803650041185577E-3</v>
          </cell>
          <cell r="K76" t="e">
            <v>#NUM!</v>
          </cell>
          <cell r="L76">
            <v>9.3146324924285378E-4</v>
          </cell>
        </row>
        <row r="77">
          <cell r="A77" t="str">
            <v>HEXACHLOROETHANE</v>
          </cell>
          <cell r="B77">
            <v>11678.153835559475</v>
          </cell>
          <cell r="C77">
            <v>1.369212937624533E-3</v>
          </cell>
          <cell r="D77">
            <v>5.8928164724980747E-2</v>
          </cell>
          <cell r="E77">
            <v>4.9335750029762021E-4</v>
          </cell>
          <cell r="F77">
            <v>0</v>
          </cell>
          <cell r="G77">
            <v>0</v>
          </cell>
          <cell r="H77">
            <v>4.8578457841183892E-5</v>
          </cell>
          <cell r="I77">
            <v>7.9545429442548496E-5</v>
          </cell>
          <cell r="J77">
            <v>4.9335750029762021E-4</v>
          </cell>
          <cell r="K77" t="e">
            <v>#NUM!</v>
          </cell>
          <cell r="L77">
            <v>7.1860189795953212E-5</v>
          </cell>
        </row>
        <row r="78">
          <cell r="A78" t="str">
            <v>HMX</v>
          </cell>
          <cell r="B78">
            <v>0</v>
          </cell>
          <cell r="C78">
            <v>4.335E-10</v>
          </cell>
          <cell r="D78">
            <v>1.8656966134572292E-8</v>
          </cell>
          <cell r="E78">
            <v>0.13096645455054612</v>
          </cell>
          <cell r="F78">
            <v>0</v>
          </cell>
          <cell r="G78">
            <v>0</v>
          </cell>
          <cell r="H78">
            <v>14.815438771277329</v>
          </cell>
          <cell r="I78">
            <v>0.29980360149081647</v>
          </cell>
          <cell r="J78">
            <v>0.13096645455054612</v>
          </cell>
          <cell r="K78">
            <v>319636053.30149895</v>
          </cell>
          <cell r="L78">
            <v>1.1619729000070978E-3</v>
          </cell>
        </row>
        <row r="79">
          <cell r="A79" t="str">
            <v>INDENO(1,2,3-cd)PYRENE</v>
          </cell>
          <cell r="B79">
            <v>26507.062478723725</v>
          </cell>
          <cell r="C79">
            <v>3.252924116049841E-8</v>
          </cell>
          <cell r="D79">
            <v>1.3999929658933192E-6</v>
          </cell>
          <cell r="E79">
            <v>5.6154803582420601E-3</v>
          </cell>
          <cell r="F79">
            <v>0</v>
          </cell>
          <cell r="G79">
            <v>0</v>
          </cell>
          <cell r="H79">
            <v>0.22606602438135531</v>
          </cell>
          <cell r="I79">
            <v>1.2592688207905524E-2</v>
          </cell>
          <cell r="J79">
            <v>5.6154803582420601E-3</v>
          </cell>
          <cell r="K79">
            <v>2.2332960433133354E+198</v>
          </cell>
          <cell r="L79">
            <v>1.0642486629613688E-3</v>
          </cell>
        </row>
        <row r="80">
          <cell r="A80" t="str">
            <v>LEAD</v>
          </cell>
          <cell r="B80">
            <v>0</v>
          </cell>
          <cell r="C80">
            <v>0</v>
          </cell>
          <cell r="D80">
            <v>0</v>
          </cell>
          <cell r="E80">
            <v>0</v>
          </cell>
          <cell r="F80"/>
          <cell r="G80"/>
          <cell r="H80">
            <v>0</v>
          </cell>
          <cell r="I80"/>
          <cell r="J80"/>
          <cell r="K80"/>
          <cell r="L80"/>
        </row>
        <row r="81">
          <cell r="A81" t="str">
            <v>MERCURY</v>
          </cell>
          <cell r="B81">
            <v>15317.443645760593</v>
          </cell>
          <cell r="C81">
            <v>0</v>
          </cell>
          <cell r="D81">
            <v>0</v>
          </cell>
          <cell r="E81">
            <v>0</v>
          </cell>
          <cell r="F81"/>
          <cell r="G81"/>
          <cell r="H81">
            <v>0</v>
          </cell>
          <cell r="I81"/>
          <cell r="J81"/>
          <cell r="K81"/>
          <cell r="L81"/>
        </row>
        <row r="82">
          <cell r="A82" t="str">
            <v>METHOXYCHLOR</v>
          </cell>
          <cell r="B82">
            <v>21548.624678163716</v>
          </cell>
          <cell r="C82">
            <v>2.9561986499954724E-8</v>
          </cell>
          <cell r="D82">
            <v>1.2722883068058559E-6</v>
          </cell>
          <cell r="E82">
            <v>4.6965073650912176E-3</v>
          </cell>
          <cell r="F82">
            <v>0</v>
          </cell>
          <cell r="G82">
            <v>0</v>
          </cell>
          <cell r="H82">
            <v>0.19600239835305322</v>
          </cell>
          <cell r="I82">
            <v>1.0543697851589158E-2</v>
          </cell>
          <cell r="J82">
            <v>4.6965073650912176E-3</v>
          </cell>
          <cell r="K82">
            <v>1.4460956474415482E+237</v>
          </cell>
          <cell r="L82">
            <v>1.046396719046507E-3</v>
          </cell>
        </row>
        <row r="83">
          <cell r="A83" t="str">
            <v>METHYL ETHYL KETONE</v>
          </cell>
          <cell r="B83">
            <v>8614.4839040954648</v>
          </cell>
          <cell r="C83">
            <v>2.633905154667136E-5</v>
          </cell>
          <cell r="D83">
            <v>1.1335796833287233E-3</v>
          </cell>
          <cell r="E83">
            <v>1.5947583674606473E-2</v>
          </cell>
          <cell r="F83">
            <v>0</v>
          </cell>
          <cell r="G83">
            <v>0</v>
          </cell>
          <cell r="H83">
            <v>1.8445337680131624E-3</v>
          </cell>
          <cell r="I83">
            <v>2.9840697706597355E-3</v>
          </cell>
          <cell r="J83">
            <v>1.5947583674606473E-2</v>
          </cell>
          <cell r="K83">
            <v>6.9637766010360798E+69</v>
          </cell>
          <cell r="L83">
            <v>8.2970745866840561E-4</v>
          </cell>
        </row>
        <row r="84">
          <cell r="A84" t="str">
            <v>METHYL ISOBUTYL KETONE</v>
          </cell>
          <cell r="B84">
            <v>10314.899400014103</v>
          </cell>
          <cell r="C84">
            <v>5.487032142863571E-5</v>
          </cell>
          <cell r="D84">
            <v>2.3615080246531784E-3</v>
          </cell>
          <cell r="E84">
            <v>1.4800651668587112E-2</v>
          </cell>
          <cell r="F84">
            <v>0</v>
          </cell>
          <cell r="G84">
            <v>0</v>
          </cell>
          <cell r="H84">
            <v>1.4484828844797636E-3</v>
          </cell>
          <cell r="I84">
            <v>2.3728419753392634E-3</v>
          </cell>
          <cell r="J84">
            <v>1.4800651668587112E-2</v>
          </cell>
          <cell r="K84">
            <v>1.7993105350985932E+75</v>
          </cell>
          <cell r="L84">
            <v>7.722525460942735E-4</v>
          </cell>
        </row>
        <row r="85">
          <cell r="A85" t="str">
            <v>METHYL MERCURY</v>
          </cell>
          <cell r="B85">
            <v>0</v>
          </cell>
          <cell r="C85">
            <v>0</v>
          </cell>
          <cell r="D85">
            <v>0</v>
          </cell>
          <cell r="E85">
            <v>0</v>
          </cell>
          <cell r="F85"/>
          <cell r="G85"/>
          <cell r="H85">
            <v>0</v>
          </cell>
          <cell r="I85"/>
          <cell r="J85"/>
          <cell r="K85"/>
          <cell r="L85"/>
        </row>
        <row r="86">
          <cell r="A86" t="str">
            <v>METHYL TERT BUTYL ETHER</v>
          </cell>
          <cell r="B86">
            <v>7848.9234946446886</v>
          </cell>
          <cell r="C86">
            <v>2.9097368871059933E-4</v>
          </cell>
          <cell r="D86">
            <v>1.2522921006517258E-2</v>
          </cell>
          <cell r="E86">
            <v>4.6797960565628108E-4</v>
          </cell>
          <cell r="F86">
            <v>0</v>
          </cell>
          <cell r="G86">
            <v>0</v>
          </cell>
          <cell r="H86">
            <v>7.8431499068399273E-5</v>
          </cell>
          <cell r="I86">
            <v>1.2244345520939296E-4</v>
          </cell>
          <cell r="J86">
            <v>4.6797960565628108E-4</v>
          </cell>
          <cell r="K86" t="e">
            <v>#NUM!</v>
          </cell>
          <cell r="L86">
            <v>1.0705749994859779E-4</v>
          </cell>
        </row>
        <row r="87">
          <cell r="A87" t="str">
            <v>METHYLNAPHTHALENE, 2-</v>
          </cell>
          <cell r="B87">
            <v>13955.155488675988</v>
          </cell>
          <cell r="C87">
            <v>1.4874147346202987E-4</v>
          </cell>
          <cell r="D87">
            <v>6.4015331792098605E-3</v>
          </cell>
          <cell r="E87">
            <v>1.2412053627848658E-2</v>
          </cell>
          <cell r="F87">
            <v>0</v>
          </cell>
          <cell r="G87">
            <v>0</v>
          </cell>
          <cell r="H87">
            <v>1.1229206501488815E-3</v>
          </cell>
          <cell r="I87">
            <v>1.8491946532544418E-3</v>
          </cell>
          <cell r="J87">
            <v>1.2412053627848658E-2</v>
          </cell>
          <cell r="K87">
            <v>5.4617875591504825E+89</v>
          </cell>
          <cell r="L87">
            <v>7.0478130694887119E-4</v>
          </cell>
        </row>
        <row r="88">
          <cell r="A88" t="str">
            <v>NAPHTHALENE</v>
          </cell>
          <cell r="B88">
            <v>12912.631111765295</v>
          </cell>
          <cell r="C88">
            <v>1.3868760121724593E-4</v>
          </cell>
          <cell r="D88">
            <v>5.9688347847640698E-3</v>
          </cell>
          <cell r="E88">
            <v>1.1642559873321792E-2</v>
          </cell>
          <cell r="F88">
            <v>0</v>
          </cell>
          <cell r="G88">
            <v>0</v>
          </cell>
          <cell r="H88">
            <v>1.0645491774066971E-3</v>
          </cell>
          <cell r="I88">
            <v>1.7518669285062206E-3</v>
          </cell>
          <cell r="J88">
            <v>1.1642559873321792E-2</v>
          </cell>
          <cell r="K88">
            <v>4.6597244308743981E+95</v>
          </cell>
          <cell r="L88">
            <v>6.8961323734266576E-4</v>
          </cell>
        </row>
        <row r="89">
          <cell r="A89" t="str">
            <v>NICKEL</v>
          </cell>
          <cell r="B89">
            <v>0</v>
          </cell>
          <cell r="C89">
            <v>0</v>
          </cell>
          <cell r="D89">
            <v>0</v>
          </cell>
          <cell r="E89">
            <v>0</v>
          </cell>
          <cell r="F89"/>
          <cell r="G89"/>
          <cell r="H89">
            <v>0</v>
          </cell>
          <cell r="I89"/>
          <cell r="J89"/>
          <cell r="K89"/>
          <cell r="L89"/>
        </row>
        <row r="90">
          <cell r="A90" t="str">
            <v>PENTACHLOROPHENOL</v>
          </cell>
          <cell r="B90">
            <v>19677.888287855465</v>
          </cell>
          <cell r="C90">
            <v>4.2174204625021391E-9</v>
          </cell>
          <cell r="D90">
            <v>1.8150927507302105E-7</v>
          </cell>
          <cell r="E90">
            <v>2.6564514074594463E-2</v>
          </cell>
          <cell r="F90">
            <v>0</v>
          </cell>
          <cell r="G90">
            <v>0</v>
          </cell>
          <cell r="H90">
            <v>1.8774936944035894</v>
          </cell>
          <cell r="I90">
            <v>6.0393476462567437E-2</v>
          </cell>
          <cell r="J90">
            <v>2.6564514074594463E-2</v>
          </cell>
          <cell r="K90">
            <v>8.4926154662718604E+41</v>
          </cell>
          <cell r="L90">
            <v>1.1437192933171994E-3</v>
          </cell>
        </row>
        <row r="91">
          <cell r="A91" t="str">
            <v>PER- AND POLYFLUORALKYL SUBSTANCES (PFAS)</v>
          </cell>
          <cell r="B91">
            <v>0</v>
          </cell>
          <cell r="C91">
            <v>0</v>
          </cell>
          <cell r="D91">
            <v>0</v>
          </cell>
          <cell r="E91">
            <v>0</v>
          </cell>
          <cell r="F91"/>
          <cell r="G91"/>
          <cell r="H91">
            <v>0</v>
          </cell>
          <cell r="I91"/>
          <cell r="J91"/>
          <cell r="K91"/>
          <cell r="L91"/>
        </row>
        <row r="92">
          <cell r="A92" t="str">
            <v>PERFLUORODECANOIC ACID (PFDA)</v>
          </cell>
          <cell r="B92"/>
          <cell r="C92"/>
          <cell r="D92"/>
          <cell r="E92"/>
          <cell r="F92"/>
          <cell r="G92"/>
          <cell r="H92"/>
          <cell r="I92"/>
          <cell r="J92"/>
          <cell r="K92"/>
          <cell r="L92"/>
        </row>
        <row r="93">
          <cell r="A93" t="str">
            <v>PERFLUOROHEPTANOIC ACID (PFHpA)</v>
          </cell>
          <cell r="B93">
            <v>0</v>
          </cell>
          <cell r="C93">
            <v>0</v>
          </cell>
          <cell r="D93">
            <v>0</v>
          </cell>
          <cell r="E93">
            <v>0</v>
          </cell>
          <cell r="F93"/>
          <cell r="G93"/>
          <cell r="H93">
            <v>0</v>
          </cell>
          <cell r="I93"/>
          <cell r="J93"/>
          <cell r="K93"/>
          <cell r="L93"/>
        </row>
        <row r="94">
          <cell r="A94" t="str">
            <v>PERFLUOROHEXANESULFONIC ACID (PFHxS)</v>
          </cell>
          <cell r="B94">
            <v>0</v>
          </cell>
          <cell r="C94">
            <v>0</v>
          </cell>
          <cell r="D94">
            <v>0</v>
          </cell>
          <cell r="E94">
            <v>0</v>
          </cell>
          <cell r="F94"/>
          <cell r="G94"/>
          <cell r="H94">
            <v>0</v>
          </cell>
          <cell r="I94"/>
          <cell r="J94"/>
          <cell r="K94"/>
          <cell r="L94"/>
        </row>
        <row r="95">
          <cell r="A95" t="str">
            <v>PERFLUOROOCTANOIC ACID (PFOA)</v>
          </cell>
          <cell r="B95">
            <v>0</v>
          </cell>
          <cell r="C95">
            <v>0</v>
          </cell>
          <cell r="D95">
            <v>0</v>
          </cell>
          <cell r="E95">
            <v>0</v>
          </cell>
          <cell r="F95"/>
          <cell r="G95"/>
          <cell r="H95">
            <v>0</v>
          </cell>
          <cell r="I95"/>
          <cell r="J95"/>
          <cell r="K95"/>
          <cell r="L95"/>
        </row>
        <row r="96">
          <cell r="A96" t="str">
            <v>PERFLUOROOCTANESULFONIC ACID (PFOS)</v>
          </cell>
          <cell r="B96">
            <v>0</v>
          </cell>
          <cell r="C96">
            <v>0</v>
          </cell>
          <cell r="D96">
            <v>0</v>
          </cell>
          <cell r="E96">
            <v>0</v>
          </cell>
          <cell r="F96"/>
          <cell r="G96"/>
          <cell r="H96">
            <v>0</v>
          </cell>
          <cell r="I96"/>
          <cell r="J96"/>
          <cell r="K96"/>
          <cell r="L96"/>
        </row>
        <row r="97">
          <cell r="A97" t="str">
            <v>PERFLUORONONANOIC ACID (PFNA)</v>
          </cell>
          <cell r="B97">
            <v>0</v>
          </cell>
          <cell r="C97">
            <v>0</v>
          </cell>
          <cell r="D97">
            <v>0</v>
          </cell>
          <cell r="E97">
            <v>0</v>
          </cell>
          <cell r="F97"/>
          <cell r="G97"/>
          <cell r="H97">
            <v>0</v>
          </cell>
          <cell r="I97"/>
          <cell r="J97"/>
          <cell r="K97"/>
          <cell r="L97"/>
        </row>
        <row r="98">
          <cell r="A98" t="str">
            <v>PERCHLORATE</v>
          </cell>
          <cell r="B98">
            <v>0</v>
          </cell>
          <cell r="C98">
            <v>0</v>
          </cell>
          <cell r="D98">
            <v>0</v>
          </cell>
          <cell r="E98">
            <v>0</v>
          </cell>
          <cell r="F98"/>
          <cell r="G98"/>
          <cell r="H98">
            <v>0</v>
          </cell>
          <cell r="I98"/>
          <cell r="J98"/>
          <cell r="K98"/>
          <cell r="L98"/>
        </row>
        <row r="99">
          <cell r="A99" t="str">
            <v>PETROLEUM HYDROCARBONS</v>
          </cell>
          <cell r="B99">
            <v>0</v>
          </cell>
          <cell r="C99">
            <v>0</v>
          </cell>
          <cell r="D99">
            <v>0</v>
          </cell>
          <cell r="E99">
            <v>0</v>
          </cell>
          <cell r="F99"/>
          <cell r="G99"/>
          <cell r="H99">
            <v>0</v>
          </cell>
          <cell r="I99"/>
          <cell r="J99"/>
          <cell r="K99"/>
          <cell r="L99"/>
        </row>
        <row r="100">
          <cell r="A100" t="str">
            <v>PETROLEUM HYDROCARBONS Aliphatics C5 to C8</v>
          </cell>
          <cell r="B100">
            <v>0</v>
          </cell>
          <cell r="C100">
            <v>0.64800000000000002</v>
          </cell>
          <cell r="D100">
            <v>27.888613737492147</v>
          </cell>
          <cell r="E100">
            <v>1.5785735346617612E-2</v>
          </cell>
          <cell r="F100">
            <v>0</v>
          </cell>
          <cell r="G100">
            <v>0</v>
          </cell>
          <cell r="H100">
            <v>1.348323852186083E-3</v>
          </cell>
          <cell r="I100">
            <v>2.2283944437507231E-3</v>
          </cell>
          <cell r="J100">
            <v>1.5785735346617612E-2</v>
          </cell>
          <cell r="K100">
            <v>3.6218549794336732E+70</v>
          </cell>
          <cell r="L100">
            <v>7.5569213879359649E-4</v>
          </cell>
        </row>
        <row r="101">
          <cell r="A101" t="str">
            <v>PETROLEUM HYDROCARBONS Aliphatics C9 to C12</v>
          </cell>
          <cell r="B101">
            <v>0</v>
          </cell>
          <cell r="C101">
            <v>0.78</v>
          </cell>
          <cell r="D101">
            <v>33.569627646981289</v>
          </cell>
          <cell r="E101">
            <v>1.381251842755825E-2</v>
          </cell>
          <cell r="F101">
            <v>0</v>
          </cell>
          <cell r="G101">
            <v>0</v>
          </cell>
          <cell r="H101">
            <v>1.1797832821050546E-3</v>
          </cell>
          <cell r="I101">
            <v>1.9498450008366744E-3</v>
          </cell>
          <cell r="J101">
            <v>1.381251842755825E-2</v>
          </cell>
          <cell r="K101">
            <v>4.352896642170563E+80</v>
          </cell>
          <cell r="L101">
            <v>7.1948499214427705E-4</v>
          </cell>
        </row>
        <row r="102">
          <cell r="A102" t="str">
            <v>PETROLEUM HYDROCARBONS Aliphatics C9 to C18</v>
          </cell>
          <cell r="B102">
            <v>0</v>
          </cell>
          <cell r="C102">
            <v>0.82800000000000007</v>
          </cell>
          <cell r="D102">
            <v>35.635450886795525</v>
          </cell>
          <cell r="E102">
            <v>1.3812518478579502E-2</v>
          </cell>
          <cell r="F102">
            <v>0</v>
          </cell>
          <cell r="G102">
            <v>0</v>
          </cell>
          <cell r="H102">
            <v>1.1797894533594274E-3</v>
          </cell>
          <cell r="I102">
            <v>1.9498545788679937E-3</v>
          </cell>
          <cell r="J102">
            <v>1.3812518478579502E-2</v>
          </cell>
          <cell r="K102">
            <v>4.3528936566773719E+80</v>
          </cell>
          <cell r="L102">
            <v>7.1948634682127458E-4</v>
          </cell>
        </row>
        <row r="103">
          <cell r="A103" t="str">
            <v>PETROLEUM HYDROCARBONS Aliphatics C19 to C36</v>
          </cell>
          <cell r="B103">
            <v>0</v>
          </cell>
          <cell r="C103">
            <v>0</v>
          </cell>
          <cell r="D103">
            <v>0</v>
          </cell>
          <cell r="E103">
            <v>0</v>
          </cell>
          <cell r="F103"/>
          <cell r="G103"/>
          <cell r="H103">
            <v>0</v>
          </cell>
          <cell r="I103"/>
          <cell r="J103"/>
          <cell r="K103"/>
          <cell r="L103"/>
        </row>
        <row r="104">
          <cell r="A104" t="str">
            <v>PETROLEUM HYDROCARBONS Aromatics C9 to C10</v>
          </cell>
          <cell r="B104">
            <v>0</v>
          </cell>
          <cell r="C104">
            <v>3.96E-3</v>
          </cell>
          <cell r="D104">
            <v>0.17043041728467423</v>
          </cell>
          <cell r="E104">
            <v>1.3812521122498556E-2</v>
          </cell>
          <cell r="F104">
            <v>0</v>
          </cell>
          <cell r="G104">
            <v>0</v>
          </cell>
          <cell r="H104">
            <v>1.18010924749805E-3</v>
          </cell>
          <cell r="I104">
            <v>1.9503509036958126E-3</v>
          </cell>
          <cell r="J104">
            <v>1.3812521122498556E-2</v>
          </cell>
          <cell r="K104">
            <v>4.3527389513868625E+80</v>
          </cell>
          <cell r="L104">
            <v>7.1955653371454955E-4</v>
          </cell>
        </row>
        <row r="105">
          <cell r="A105" t="str">
            <v>PETROLEUM HYDROCARBONS Aromatics C11 to C22</v>
          </cell>
          <cell r="B105">
            <v>0</v>
          </cell>
          <cell r="C105">
            <v>3.5999999999999997E-4</v>
          </cell>
          <cell r="D105">
            <v>1.5493674298606746E-2</v>
          </cell>
          <cell r="E105">
            <v>1.1839331293161753E-2</v>
          </cell>
          <cell r="F105">
            <v>0</v>
          </cell>
          <cell r="G105">
            <v>0</v>
          </cell>
          <cell r="H105">
            <v>1.0148453036357495E-3</v>
          </cell>
          <cell r="I105">
            <v>1.6768857124958058E-3</v>
          </cell>
          <cell r="J105">
            <v>1.1839331293161753E-2</v>
          </cell>
          <cell r="K105">
            <v>1.1976724984771874E+94</v>
          </cell>
          <cell r="L105">
            <v>6.7723075599586749E-4</v>
          </cell>
        </row>
        <row r="106">
          <cell r="A106" t="str">
            <v>PHENANTHRENE</v>
          </cell>
          <cell r="B106">
            <v>18403.937425837659</v>
          </cell>
          <cell r="C106">
            <v>8.1600050902325074E-6</v>
          </cell>
          <cell r="D106">
            <v>3.5119016984176563E-4</v>
          </cell>
          <cell r="E106">
            <v>6.5806317323079963E-3</v>
          </cell>
          <cell r="F106">
            <v>0</v>
          </cell>
          <cell r="G106">
            <v>0</v>
          </cell>
          <cell r="H106">
            <v>1.7489405883867907E-3</v>
          </cell>
          <cell r="I106">
            <v>2.5608748207118621E-3</v>
          </cell>
          <cell r="J106">
            <v>6.5806317323079963E-3</v>
          </cell>
          <cell r="K106">
            <v>1.8113694115266352E+169</v>
          </cell>
          <cell r="L106">
            <v>7.9191009194142696E-4</v>
          </cell>
        </row>
        <row r="107">
          <cell r="A107" t="str">
            <v>PHENOL</v>
          </cell>
          <cell r="B107">
            <v>13335.512440534729</v>
          </cell>
          <cell r="C107">
            <v>1.0106671176276667E-7</v>
          </cell>
          <cell r="D107">
            <v>4.3497075402318726E-6</v>
          </cell>
          <cell r="E107">
            <v>1.7146180684627914E-2</v>
          </cell>
          <cell r="F107">
            <v>0</v>
          </cell>
          <cell r="G107">
            <v>0</v>
          </cell>
          <cell r="H107">
            <v>0.11820020898906827</v>
          </cell>
          <cell r="I107">
            <v>3.3342829801182125E-2</v>
          </cell>
          <cell r="J107">
            <v>1.7146180684627914E-2</v>
          </cell>
          <cell r="K107">
            <v>9.130788031051125E+64</v>
          </cell>
          <cell r="L107">
            <v>1.1257527247352257E-3</v>
          </cell>
        </row>
        <row r="108">
          <cell r="A108" t="str">
            <v>POLYCHLORINATED BIPHENYLS (PCBs)</v>
          </cell>
          <cell r="B108">
            <v>24569.626379564452</v>
          </cell>
          <cell r="C108">
            <v>4.6129215151570264E-5</v>
          </cell>
          <cell r="D108">
            <v>1.9853084311355143E-3</v>
          </cell>
          <cell r="E108">
            <v>2.724043873513556E-3</v>
          </cell>
          <cell r="F108">
            <v>0</v>
          </cell>
          <cell r="G108">
            <v>0</v>
          </cell>
          <cell r="H108">
            <v>3.5408791936719696E-4</v>
          </cell>
          <cell r="I108">
            <v>5.671648315920617E-4</v>
          </cell>
          <cell r="J108">
            <v>2.724043873513556E-3</v>
          </cell>
          <cell r="K108" t="e">
            <v>#NUM!</v>
          </cell>
          <cell r="L108">
            <v>3.7193443104038365E-4</v>
          </cell>
        </row>
        <row r="109">
          <cell r="A109" t="str">
            <v>PYRENE</v>
          </cell>
          <cell r="B109">
            <v>20699.591880496919</v>
          </cell>
          <cell r="C109">
            <v>1.8696212555354377E-6</v>
          </cell>
          <cell r="D109">
            <v>8.0464729986161912E-5</v>
          </cell>
          <cell r="E109">
            <v>5.4086874554344971E-3</v>
          </cell>
          <cell r="F109">
            <v>0</v>
          </cell>
          <cell r="G109">
            <v>0</v>
          </cell>
          <cell r="H109">
            <v>5.4825737405674764E-3</v>
          </cell>
          <cell r="I109">
            <v>5.4504221096674599E-3</v>
          </cell>
          <cell r="J109">
            <v>5.4086874554344971E-3</v>
          </cell>
          <cell r="K109">
            <v>8.5608181108960963E+205</v>
          </cell>
          <cell r="L109">
            <v>9.5444904732837506E-4</v>
          </cell>
        </row>
        <row r="110">
          <cell r="A110" t="str">
            <v>RDX</v>
          </cell>
          <cell r="B110">
            <v>0</v>
          </cell>
          <cell r="C110">
            <v>3.1599999999999998E-8</v>
          </cell>
          <cell r="D110">
            <v>1.3600002995443699E-6</v>
          </cell>
          <cell r="E110">
            <v>1.2297390145397725E-2</v>
          </cell>
          <cell r="F110">
            <v>0</v>
          </cell>
          <cell r="G110">
            <v>0</v>
          </cell>
          <cell r="H110">
            <v>0.24722004326198735</v>
          </cell>
          <cell r="I110">
            <v>2.6728745939458648E-2</v>
          </cell>
          <cell r="J110">
            <v>1.2297390145397725E-2</v>
          </cell>
          <cell r="K110">
            <v>3.7502896264160695E+90</v>
          </cell>
          <cell r="L110">
            <v>1.1160668379447453E-3</v>
          </cell>
        </row>
        <row r="111">
          <cell r="A111" t="str">
            <v>SELENIUM</v>
          </cell>
          <cell r="B111">
            <v>0</v>
          </cell>
          <cell r="C111">
            <v>0</v>
          </cell>
          <cell r="D111">
            <v>0</v>
          </cell>
          <cell r="E111">
            <v>0</v>
          </cell>
          <cell r="F111"/>
          <cell r="G111"/>
          <cell r="H111">
            <v>0</v>
          </cell>
          <cell r="I111"/>
          <cell r="J111"/>
          <cell r="K111"/>
          <cell r="L111"/>
        </row>
        <row r="112">
          <cell r="A112" t="str">
            <v>SILVER</v>
          </cell>
          <cell r="B112">
            <v>0</v>
          </cell>
          <cell r="C112">
            <v>0</v>
          </cell>
          <cell r="D112">
            <v>0</v>
          </cell>
          <cell r="E112">
            <v>0</v>
          </cell>
          <cell r="F112"/>
          <cell r="G112"/>
          <cell r="H112">
            <v>0</v>
          </cell>
          <cell r="I112"/>
          <cell r="J112"/>
          <cell r="K112"/>
          <cell r="L112"/>
        </row>
        <row r="113">
          <cell r="A113" t="str">
            <v>STYRENE</v>
          </cell>
          <cell r="B113">
            <v>10450.088631589968</v>
          </cell>
          <cell r="C113">
            <v>1.0802929200821459E-3</v>
          </cell>
          <cell r="D113">
            <v>4.6493629585676606E-2</v>
          </cell>
          <cell r="E113">
            <v>1.4009919538857147E-2</v>
          </cell>
          <cell r="F113">
            <v>0</v>
          </cell>
          <cell r="G113">
            <v>0</v>
          </cell>
          <cell r="H113">
            <v>1.2062434790323596E-3</v>
          </cell>
          <cell r="I113">
            <v>1.9926017781987044E-3</v>
          </cell>
          <cell r="J113">
            <v>1.4009919538857147E-2</v>
          </cell>
          <cell r="K113">
            <v>3.1810480303322295E+79</v>
          </cell>
          <cell r="L113">
            <v>7.2545166327125411E-4</v>
          </cell>
        </row>
        <row r="114">
          <cell r="A114" t="str">
            <v>TCDD, 2,3,7,8-  (equivalents)</v>
          </cell>
          <cell r="B114">
            <v>30061.826733445894</v>
          </cell>
          <cell r="C114">
            <v>3.4011701479043296E-6</v>
          </cell>
          <cell r="D114">
            <v>1.4637950696048285E-4</v>
          </cell>
          <cell r="E114">
            <v>9.2993494604645156E-3</v>
          </cell>
          <cell r="F114">
            <v>0</v>
          </cell>
          <cell r="G114">
            <v>0</v>
          </cell>
          <cell r="H114">
            <v>3.8438177730439308E-3</v>
          </cell>
          <cell r="I114">
            <v>5.1479424865726632E-3</v>
          </cell>
          <cell r="J114">
            <v>9.2993494604645156E-3</v>
          </cell>
          <cell r="K114">
            <v>5.9492962396501537E+119</v>
          </cell>
          <cell r="L114">
            <v>9.4435563204730731E-4</v>
          </cell>
        </row>
        <row r="115">
          <cell r="A115" t="str">
            <v>TETRACHLOROETHANE, 1,1,1,2-</v>
          </cell>
          <cell r="B115">
            <v>11806.270711709809</v>
          </cell>
          <cell r="C115">
            <v>8.5253560248382885E-4</v>
          </cell>
          <cell r="D115">
            <v>3.6691413757919213E-2</v>
          </cell>
          <cell r="E115">
            <v>1.4009939501544518E-2</v>
          </cell>
          <cell r="F115">
            <v>0</v>
          </cell>
          <cell r="G115">
            <v>0</v>
          </cell>
          <cell r="H115">
            <v>1.2086580576495646E-3</v>
          </cell>
          <cell r="I115">
            <v>1.9963451819463595E-3</v>
          </cell>
          <cell r="J115">
            <v>1.4009939501544518E-2</v>
          </cell>
          <cell r="K115">
            <v>3.1802183836327978E+79</v>
          </cell>
          <cell r="L115">
            <v>7.259664805209738E-4</v>
          </cell>
        </row>
        <row r="116">
          <cell r="A116" t="str">
            <v>TETRACHLOROETHANE, 1,1,2,2-</v>
          </cell>
          <cell r="B116">
            <v>10539.681375612032</v>
          </cell>
          <cell r="C116">
            <v>1.4301970967423442E-4</v>
          </cell>
          <cell r="D116">
            <v>6.1552799999274573E-3</v>
          </cell>
          <cell r="E116">
            <v>1.4010432602261268E-2</v>
          </cell>
          <cell r="F116">
            <v>0</v>
          </cell>
          <cell r="G116">
            <v>0</v>
          </cell>
          <cell r="H116">
            <v>1.2683008514635342E-3</v>
          </cell>
          <cell r="I116">
            <v>2.0885206376095042E-3</v>
          </cell>
          <cell r="J116">
            <v>1.4010432602261268E-2</v>
          </cell>
          <cell r="K116">
            <v>3.1597944698769739E+79</v>
          </cell>
          <cell r="L116">
            <v>7.3827463452142924E-4</v>
          </cell>
        </row>
        <row r="117">
          <cell r="A117" t="str">
            <v>TETRACHLOROETHYLENE</v>
          </cell>
          <cell r="B117">
            <v>9552.9346174834373</v>
          </cell>
          <cell r="C117">
            <v>7.5338993478570992E-3</v>
          </cell>
          <cell r="D117">
            <v>0.32424384081717689</v>
          </cell>
          <cell r="E117">
            <v>1.4207173471842459E-2</v>
          </cell>
          <cell r="F117">
            <v>0</v>
          </cell>
          <cell r="G117">
            <v>0</v>
          </cell>
          <cell r="H117">
            <v>1.214901783743464E-3</v>
          </cell>
          <cell r="I117">
            <v>2.0077437127390672E-3</v>
          </cell>
          <cell r="J117">
            <v>1.4207173471842459E-2</v>
          </cell>
          <cell r="K117">
            <v>2.5046551744397266E+78</v>
          </cell>
          <cell r="L117">
            <v>7.275267082629569E-4</v>
          </cell>
        </row>
        <row r="118">
          <cell r="A118" t="str">
            <v>THALLIUM</v>
          </cell>
          <cell r="B118">
            <v>0</v>
          </cell>
          <cell r="C118">
            <v>0</v>
          </cell>
          <cell r="D118">
            <v>0</v>
          </cell>
          <cell r="E118">
            <v>0</v>
          </cell>
          <cell r="F118"/>
          <cell r="G118"/>
          <cell r="H118">
            <v>0</v>
          </cell>
          <cell r="I118"/>
          <cell r="J118"/>
          <cell r="K118"/>
          <cell r="L118"/>
        </row>
        <row r="119">
          <cell r="A119" t="str">
            <v>TOLUENE</v>
          </cell>
          <cell r="B119">
            <v>9154.4695464517117</v>
          </cell>
          <cell r="C119">
            <v>2.9287855137933813E-3</v>
          </cell>
          <cell r="D119">
            <v>0.12604902455886741</v>
          </cell>
          <cell r="E119">
            <v>1.7167018668193052E-2</v>
          </cell>
          <cell r="F119">
            <v>0</v>
          </cell>
          <cell r="G119">
            <v>0</v>
          </cell>
          <cell r="H119">
            <v>1.4701096880403441E-3</v>
          </cell>
          <cell r="I119">
            <v>2.4292874145301819E-3</v>
          </cell>
          <cell r="J119">
            <v>1.7167018668193052E-2</v>
          </cell>
          <cell r="K119">
            <v>7.6147686361010133E+64</v>
          </cell>
          <cell r="L119">
            <v>7.7836678356713919E-4</v>
          </cell>
        </row>
        <row r="120">
          <cell r="A120" t="str">
            <v>TRICHLOROBENZENE, 1,2,4-</v>
          </cell>
          <cell r="B120">
            <v>9571.9107526909247</v>
          </cell>
          <cell r="C120">
            <v>6.0338988095503361E-4</v>
          </cell>
          <cell r="D120">
            <v>2.5968684140534413E-2</v>
          </cell>
          <cell r="E120">
            <v>1.5391248383813543E-2</v>
          </cell>
          <cell r="F120">
            <v>0</v>
          </cell>
          <cell r="G120">
            <v>0</v>
          </cell>
          <cell r="H120">
            <v>1.3335355766529375E-3</v>
          </cell>
          <cell r="I120">
            <v>2.2020232023916976E-3</v>
          </cell>
          <cell r="J120">
            <v>1.5391248383813543E-2</v>
          </cell>
          <cell r="K120">
            <v>2.3302308196556279E+72</v>
          </cell>
          <cell r="L120">
            <v>7.5251749035745198E-4</v>
          </cell>
        </row>
        <row r="121">
          <cell r="A121" t="str">
            <v>TRICHLOROETHANE, 1,1,1-</v>
          </cell>
          <cell r="B121">
            <v>7884.8438698974833</v>
          </cell>
          <cell r="C121">
            <v>8.4986359934090105E-3</v>
          </cell>
          <cell r="D121">
            <v>0.36576416128970946</v>
          </cell>
          <cell r="E121">
            <v>1.5391103053595576E-2</v>
          </cell>
          <cell r="F121">
            <v>0</v>
          </cell>
          <cell r="G121">
            <v>0</v>
          </cell>
          <cell r="H121">
            <v>1.3159572200804215E-3</v>
          </cell>
          <cell r="I121">
            <v>2.1747664595831687E-3</v>
          </cell>
          <cell r="J121">
            <v>1.5391103053595576E-2</v>
          </cell>
          <cell r="K121">
            <v>2.3339001387556365E+72</v>
          </cell>
          <cell r="L121">
            <v>7.4918428389551166E-4</v>
          </cell>
        </row>
        <row r="122">
          <cell r="A122" t="str">
            <v>TRICHLOROETHANE, 1,1,2-</v>
          </cell>
          <cell r="B122">
            <v>9571.9107526909247</v>
          </cell>
          <cell r="C122">
            <v>3.5013609993447017E-4</v>
          </cell>
          <cell r="D122">
            <v>1.5069151923803066E-2</v>
          </cell>
          <cell r="E122">
            <v>1.5391361534848005E-2</v>
          </cell>
          <cell r="F122">
            <v>0</v>
          </cell>
          <cell r="G122">
            <v>0</v>
          </cell>
          <cell r="H122">
            <v>1.3472217133569113E-3</v>
          </cell>
          <cell r="I122">
            <v>2.2232140530056045E-3</v>
          </cell>
          <cell r="J122">
            <v>1.5391361534848005E-2</v>
          </cell>
          <cell r="K122">
            <v>2.3273780079857762E+72</v>
          </cell>
          <cell r="L122">
            <v>7.5507235507023924E-4</v>
          </cell>
        </row>
        <row r="123">
          <cell r="A123" t="str">
            <v>TRICHLOROETHYLENE</v>
          </cell>
          <cell r="B123">
            <v>8556.7165503171182</v>
          </cell>
          <cell r="C123">
            <v>4.5831838752977555E-3</v>
          </cell>
          <cell r="D123">
            <v>0.19725099504024918</v>
          </cell>
          <cell r="E123">
            <v>1.5588434935954147E-2</v>
          </cell>
          <cell r="F123">
            <v>0</v>
          </cell>
          <cell r="G123">
            <v>0</v>
          </cell>
          <cell r="H123">
            <v>1.334043859083959E-3</v>
          </cell>
          <cell r="I123">
            <v>2.2045340798160689E-3</v>
          </cell>
          <cell r="J123">
            <v>1.5588434935954147E-2</v>
          </cell>
          <cell r="K123">
            <v>2.8312911888135753E+71</v>
          </cell>
          <cell r="L123">
            <v>7.5282186827969162E-4</v>
          </cell>
        </row>
        <row r="124">
          <cell r="A124" t="str">
            <v>TRICHLOROPHENOL, 2,4,5-</v>
          </cell>
          <cell r="B124">
            <v>17261.827436291631</v>
          </cell>
          <cell r="C124">
            <v>3.4611048994234702E-7</v>
          </cell>
          <cell r="D124">
            <v>1.4895897784716475E-5</v>
          </cell>
          <cell r="E124">
            <v>5.959930203270754E-3</v>
          </cell>
          <cell r="F124">
            <v>0</v>
          </cell>
          <cell r="G124">
            <v>0</v>
          </cell>
          <cell r="H124">
            <v>2.6842704320559876E-2</v>
          </cell>
          <cell r="I124">
            <v>1.0681404259542848E-2</v>
          </cell>
          <cell r="J124">
            <v>5.959930203270754E-3</v>
          </cell>
          <cell r="K124">
            <v>7.6826801414016343E+186</v>
          </cell>
          <cell r="L124">
            <v>1.0477893007788189E-3</v>
          </cell>
        </row>
        <row r="125">
          <cell r="A125" t="str">
            <v>TRICHLOROPHENOL 2,4,6-</v>
          </cell>
          <cell r="B125">
            <v>15883.153922743313</v>
          </cell>
          <cell r="C125">
            <v>6.2836048239158884E-7</v>
          </cell>
          <cell r="D125">
            <v>2.7043368489696383E-5</v>
          </cell>
          <cell r="E125">
            <v>6.3815203511091417E-3</v>
          </cell>
          <cell r="F125">
            <v>0</v>
          </cell>
          <cell r="G125">
            <v>0</v>
          </cell>
          <cell r="H125">
            <v>1.3440670301962854E-2</v>
          </cell>
          <cell r="I125">
            <v>9.0958456408506434E-3</v>
          </cell>
          <cell r="J125">
            <v>6.3815203511091417E-3</v>
          </cell>
          <cell r="K125">
            <v>3.4599323573740995E+174</v>
          </cell>
          <cell r="L125">
            <v>1.0295028301611046E-3</v>
          </cell>
        </row>
        <row r="126">
          <cell r="A126" t="str">
            <v>VANADIUM</v>
          </cell>
          <cell r="B126">
            <v>0</v>
          </cell>
          <cell r="C126">
            <v>0</v>
          </cell>
          <cell r="D126">
            <v>0</v>
          </cell>
          <cell r="E126">
            <v>0</v>
          </cell>
          <cell r="F126"/>
          <cell r="G126"/>
          <cell r="H126">
            <v>0</v>
          </cell>
          <cell r="I126"/>
          <cell r="J126"/>
          <cell r="K126"/>
          <cell r="L126"/>
        </row>
        <row r="127">
          <cell r="A127" t="str">
            <v>VINYL CHLORIDE</v>
          </cell>
          <cell r="B127">
            <v>4999.6806079672815</v>
          </cell>
          <cell r="C127">
            <v>1.7778716037784519E-2</v>
          </cell>
          <cell r="D127">
            <v>0.76516009926902662</v>
          </cell>
          <cell r="E127">
            <v>2.0916100054430526E-2</v>
          </cell>
          <cell r="F127">
            <v>0</v>
          </cell>
          <cell r="G127">
            <v>0</v>
          </cell>
          <cell r="H127">
            <v>1.786616211067546E-3</v>
          </cell>
          <cell r="I127">
            <v>2.9527578310032227E-3</v>
          </cell>
          <cell r="J127">
            <v>2.0916100054430526E-2</v>
          </cell>
          <cell r="K127">
            <v>1.7865764530573058E+53</v>
          </cell>
          <cell r="L127">
            <v>8.2717400736670682E-4</v>
          </cell>
        </row>
        <row r="128">
          <cell r="A128" t="str">
            <v>XYLENES (Mixed Isomers)</v>
          </cell>
          <cell r="B128">
            <v>10248.452963724338</v>
          </cell>
          <cell r="C128">
            <v>2.651869521146408E-3</v>
          </cell>
          <cell r="D128">
            <v>0.1141311184529019</v>
          </cell>
          <cell r="E128">
            <v>1.5174072224578816E-2</v>
          </cell>
          <cell r="F128">
            <v>0</v>
          </cell>
          <cell r="G128">
            <v>0</v>
          </cell>
          <cell r="H128">
            <v>1.3002035930805603E-3</v>
          </cell>
          <cell r="I128">
            <v>2.1484486375163833E-3</v>
          </cell>
          <cell r="J128">
            <v>1.5174072224578816E-2</v>
          </cell>
          <cell r="K128">
            <v>2.5301381008162918E+73</v>
          </cell>
          <cell r="L128">
            <v>7.4591458604617673E-4</v>
          </cell>
        </row>
        <row r="129">
          <cell r="A129" t="str">
            <v>ZINC</v>
          </cell>
          <cell r="B129">
            <v>0</v>
          </cell>
          <cell r="C129">
            <v>0</v>
          </cell>
          <cell r="D129">
            <v>0</v>
          </cell>
          <cell r="E129">
            <v>0</v>
          </cell>
          <cell r="F129"/>
          <cell r="G129"/>
          <cell r="H129">
            <v>0</v>
          </cell>
          <cell r="I129"/>
          <cell r="J129"/>
          <cell r="K129"/>
          <cell r="L129"/>
        </row>
      </sheetData>
      <sheetData sheetId="4"/>
      <sheetData sheetId="5"/>
      <sheetData sheetId="6" refreshError="1"/>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esktop/AK_Desktop/Copy/MCP_Nancy_Project/New_M1/MCP%20GW2%20alpha_022020.xlsx" TargetMode="External"/><Relationship Id="rId1" Type="http://schemas.openxmlformats.org/officeDocument/2006/relationships/hyperlink" Target="../../../../../../Desktop/AK_Desktop/Copy/MCP_Nancy_Project/New_M1/MCP%20Toxicity_022020.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9.bin"/><Relationship Id="rId1" Type="http://schemas.openxmlformats.org/officeDocument/2006/relationships/hyperlink" Target="http://www.mass.gov/dep/cleanup/laws/iatu.pdf" TargetMode="External"/><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3"/>
  <sheetViews>
    <sheetView showGridLines="0" tabSelected="1" zoomScaleNormal="100" workbookViewId="0"/>
  </sheetViews>
  <sheetFormatPr defaultColWidth="9" defaultRowHeight="12.5" x14ac:dyDescent="0.25"/>
  <cols>
    <col min="1" max="1" width="4.6640625" style="58" customWidth="1"/>
    <col min="2" max="2" width="3.6640625" style="58" customWidth="1"/>
    <col min="3" max="3" width="3.4140625" style="58" customWidth="1"/>
    <col min="4" max="4" width="19.25" style="55" customWidth="1"/>
    <col min="5" max="5" width="73.75" style="58" customWidth="1"/>
    <col min="6" max="6" width="4.33203125" style="58" customWidth="1"/>
    <col min="7" max="16384" width="9" style="58"/>
  </cols>
  <sheetData>
    <row r="1" spans="1:21" ht="13" thickTop="1" x14ac:dyDescent="0.25">
      <c r="A1" s="176"/>
      <c r="B1" s="865"/>
      <c r="C1" s="866"/>
      <c r="D1" s="866"/>
      <c r="E1" s="866"/>
      <c r="F1" s="867"/>
      <c r="G1" s="176"/>
      <c r="H1" s="176"/>
      <c r="I1" s="176"/>
      <c r="J1" s="176"/>
      <c r="K1" s="176"/>
      <c r="L1" s="176"/>
      <c r="M1" s="176"/>
      <c r="N1" s="176"/>
      <c r="O1" s="176"/>
      <c r="P1" s="176"/>
      <c r="Q1" s="176"/>
      <c r="R1" s="176"/>
      <c r="S1" s="176"/>
      <c r="T1" s="176"/>
      <c r="U1" s="176"/>
    </row>
    <row r="2" spans="1:21" ht="15.65" customHeight="1" x14ac:dyDescent="0.25">
      <c r="A2" s="176"/>
      <c r="B2" s="879" t="s">
        <v>334</v>
      </c>
      <c r="C2" s="880"/>
      <c r="D2" s="880"/>
      <c r="E2" s="880"/>
      <c r="F2" s="881"/>
      <c r="G2" s="176"/>
      <c r="H2" s="176"/>
      <c r="I2" s="176"/>
      <c r="J2" s="176"/>
      <c r="K2" s="176"/>
      <c r="L2" s="176"/>
      <c r="M2" s="176"/>
      <c r="N2" s="176"/>
      <c r="O2" s="176"/>
      <c r="P2" s="176"/>
      <c r="Q2" s="176"/>
      <c r="R2" s="176"/>
      <c r="S2" s="176"/>
      <c r="T2" s="176"/>
      <c r="U2" s="176"/>
    </row>
    <row r="3" spans="1:21" ht="15.5" customHeight="1" x14ac:dyDescent="0.25">
      <c r="A3" s="176"/>
      <c r="B3" s="882"/>
      <c r="C3" s="883"/>
      <c r="D3" s="883"/>
      <c r="E3" s="883"/>
      <c r="F3" s="884"/>
      <c r="G3" s="176"/>
      <c r="H3" s="176"/>
      <c r="I3" s="176"/>
      <c r="J3" s="176"/>
      <c r="K3" s="176"/>
      <c r="L3" s="176"/>
      <c r="M3" s="176"/>
      <c r="N3" s="176"/>
      <c r="O3" s="176"/>
      <c r="P3" s="176"/>
      <c r="Q3" s="176"/>
      <c r="R3" s="176"/>
      <c r="S3" s="176"/>
      <c r="T3" s="176"/>
      <c r="U3" s="176"/>
    </row>
    <row r="4" spans="1:21" ht="13" x14ac:dyDescent="0.25">
      <c r="A4" s="176"/>
      <c r="B4" s="192"/>
      <c r="C4" s="180"/>
      <c r="D4" s="870" t="s">
        <v>147</v>
      </c>
      <c r="E4" s="870"/>
      <c r="F4" s="191"/>
      <c r="G4" s="176"/>
      <c r="H4" s="176"/>
      <c r="I4" s="176"/>
      <c r="J4" s="176"/>
      <c r="K4" s="176"/>
      <c r="L4" s="176"/>
      <c r="M4" s="176"/>
      <c r="N4" s="176"/>
      <c r="O4" s="176"/>
      <c r="P4" s="176"/>
      <c r="Q4" s="176"/>
      <c r="R4" s="176"/>
      <c r="S4" s="176"/>
      <c r="T4" s="176"/>
      <c r="U4" s="176"/>
    </row>
    <row r="5" spans="1:21" x14ac:dyDescent="0.25">
      <c r="A5" s="176"/>
      <c r="B5" s="190"/>
      <c r="C5" s="180"/>
      <c r="D5" s="57"/>
      <c r="E5" s="180"/>
      <c r="F5" s="191"/>
      <c r="G5" s="176"/>
      <c r="H5" s="176"/>
      <c r="I5" s="176"/>
      <c r="J5" s="176"/>
      <c r="K5" s="176"/>
      <c r="L5" s="176"/>
      <c r="M5" s="176"/>
      <c r="N5" s="176"/>
      <c r="O5" s="176"/>
      <c r="P5" s="176"/>
      <c r="Q5" s="176"/>
      <c r="R5" s="176"/>
      <c r="S5" s="176"/>
      <c r="T5" s="176"/>
      <c r="U5" s="176"/>
    </row>
    <row r="6" spans="1:21" ht="13.5" thickBot="1" x14ac:dyDescent="0.3">
      <c r="A6" s="176"/>
      <c r="B6" s="193"/>
      <c r="C6" s="177"/>
      <c r="D6" s="178" t="s">
        <v>148</v>
      </c>
      <c r="E6" s="179" t="s">
        <v>149</v>
      </c>
      <c r="F6" s="191"/>
      <c r="G6" s="176"/>
      <c r="H6" s="176"/>
      <c r="I6" s="176"/>
      <c r="J6" s="176"/>
      <c r="K6" s="176"/>
      <c r="L6" s="176"/>
      <c r="M6" s="176"/>
      <c r="N6" s="176"/>
      <c r="O6" s="176"/>
      <c r="P6" s="176"/>
      <c r="Q6" s="176"/>
      <c r="R6" s="176"/>
      <c r="S6" s="176"/>
      <c r="T6" s="176"/>
      <c r="U6" s="176"/>
    </row>
    <row r="7" spans="1:21" x14ac:dyDescent="0.25">
      <c r="A7" s="176"/>
      <c r="B7" s="190"/>
      <c r="C7" s="180"/>
      <c r="D7" s="57"/>
      <c r="E7" s="180"/>
      <c r="F7" s="191"/>
      <c r="G7" s="176"/>
      <c r="H7" s="176"/>
      <c r="I7" s="176"/>
      <c r="J7" s="176"/>
      <c r="K7" s="176"/>
      <c r="L7" s="176"/>
      <c r="M7" s="176"/>
      <c r="N7" s="176"/>
      <c r="O7" s="176"/>
      <c r="P7" s="176"/>
      <c r="Q7" s="176"/>
      <c r="R7" s="176"/>
      <c r="S7" s="176"/>
      <c r="T7" s="176"/>
      <c r="U7" s="176"/>
    </row>
    <row r="8" spans="1:21" x14ac:dyDescent="0.25">
      <c r="A8" s="176"/>
      <c r="B8" s="190"/>
      <c r="C8" s="194"/>
      <c r="D8" s="778" t="s">
        <v>325</v>
      </c>
      <c r="E8" s="185" t="s">
        <v>326</v>
      </c>
      <c r="F8" s="191"/>
      <c r="G8" s="176"/>
      <c r="H8" s="176"/>
      <c r="I8" s="176"/>
      <c r="J8" s="176"/>
      <c r="K8" s="176"/>
      <c r="L8" s="176"/>
      <c r="M8" s="176"/>
      <c r="N8" s="176"/>
      <c r="O8" s="176"/>
      <c r="P8" s="176"/>
      <c r="Q8" s="176"/>
      <c r="R8" s="176"/>
      <c r="S8" s="176"/>
      <c r="T8" s="176"/>
      <c r="U8" s="176"/>
    </row>
    <row r="9" spans="1:21" x14ac:dyDescent="0.25">
      <c r="A9" s="176"/>
      <c r="B9" s="190"/>
      <c r="C9" s="180"/>
      <c r="D9" s="57"/>
      <c r="E9" s="185"/>
      <c r="F9" s="191"/>
      <c r="G9" s="176"/>
      <c r="H9" s="176"/>
      <c r="I9" s="176"/>
      <c r="J9" s="176"/>
      <c r="K9" s="176"/>
      <c r="L9" s="176"/>
      <c r="M9" s="176"/>
      <c r="N9" s="176"/>
      <c r="O9" s="176"/>
      <c r="P9" s="176"/>
      <c r="Q9" s="176"/>
      <c r="R9" s="176"/>
      <c r="S9" s="176"/>
      <c r="T9" s="176"/>
      <c r="U9" s="176"/>
    </row>
    <row r="10" spans="1:21" x14ac:dyDescent="0.25">
      <c r="A10" s="176"/>
      <c r="B10" s="190"/>
      <c r="C10" s="194"/>
      <c r="D10" s="196" t="s">
        <v>335</v>
      </c>
      <c r="E10" s="185" t="s">
        <v>995</v>
      </c>
      <c r="F10" s="191"/>
      <c r="G10" s="176"/>
      <c r="H10" s="176"/>
      <c r="I10" s="176"/>
      <c r="J10" s="176"/>
      <c r="K10" s="176"/>
      <c r="L10" s="176"/>
      <c r="M10" s="176"/>
      <c r="N10" s="176"/>
      <c r="O10" s="176"/>
      <c r="P10" s="176"/>
      <c r="Q10" s="176"/>
      <c r="R10" s="176"/>
      <c r="S10" s="176"/>
      <c r="T10" s="176"/>
      <c r="U10" s="176"/>
    </row>
    <row r="11" spans="1:21" x14ac:dyDescent="0.25">
      <c r="A11" s="176"/>
      <c r="B11" s="190"/>
      <c r="C11" s="194"/>
      <c r="D11" s="57"/>
      <c r="E11" s="185"/>
      <c r="F11" s="191"/>
      <c r="G11" s="176"/>
      <c r="H11" s="176"/>
      <c r="I11" s="176"/>
      <c r="J11" s="176"/>
      <c r="K11" s="176"/>
      <c r="L11" s="176"/>
      <c r="M11" s="176"/>
      <c r="N11" s="176"/>
      <c r="O11" s="176"/>
      <c r="P11" s="176"/>
      <c r="Q11" s="176"/>
      <c r="R11" s="176"/>
      <c r="S11" s="176"/>
      <c r="T11" s="176"/>
      <c r="U11" s="176"/>
    </row>
    <row r="12" spans="1:21" ht="23" x14ac:dyDescent="0.25">
      <c r="A12" s="176"/>
      <c r="B12" s="190"/>
      <c r="C12" s="180"/>
      <c r="D12" s="196" t="s">
        <v>960</v>
      </c>
      <c r="E12" s="197" t="s">
        <v>996</v>
      </c>
      <c r="F12" s="191"/>
      <c r="G12" s="176"/>
      <c r="H12" s="176"/>
      <c r="I12" s="176"/>
      <c r="J12" s="176"/>
      <c r="K12" s="176"/>
      <c r="L12" s="176"/>
      <c r="M12" s="176"/>
      <c r="N12" s="176"/>
      <c r="O12" s="176"/>
      <c r="P12" s="176"/>
      <c r="Q12" s="176"/>
      <c r="R12" s="176"/>
      <c r="S12" s="176"/>
      <c r="T12" s="176"/>
      <c r="U12" s="176"/>
    </row>
    <row r="13" spans="1:21" x14ac:dyDescent="0.25">
      <c r="A13" s="176"/>
      <c r="B13" s="190"/>
      <c r="C13" s="180"/>
      <c r="D13" s="57"/>
      <c r="E13" s="185"/>
      <c r="F13" s="191"/>
      <c r="G13" s="176"/>
      <c r="H13" s="176"/>
      <c r="I13" s="176"/>
      <c r="J13" s="176"/>
      <c r="K13" s="176"/>
      <c r="L13" s="176"/>
      <c r="M13" s="176"/>
      <c r="N13" s="176"/>
      <c r="O13" s="176"/>
      <c r="P13" s="176"/>
      <c r="Q13" s="176"/>
      <c r="R13" s="176"/>
      <c r="S13" s="176"/>
      <c r="T13" s="176"/>
      <c r="U13" s="176"/>
    </row>
    <row r="14" spans="1:21" ht="23" x14ac:dyDescent="0.25">
      <c r="A14" s="176"/>
      <c r="B14" s="190"/>
      <c r="C14" s="180"/>
      <c r="D14" s="196" t="s">
        <v>944</v>
      </c>
      <c r="E14" s="197" t="s">
        <v>997</v>
      </c>
      <c r="F14" s="191"/>
      <c r="G14" s="176"/>
      <c r="H14" s="176"/>
      <c r="I14" s="176"/>
      <c r="J14" s="176"/>
      <c r="K14" s="176"/>
      <c r="L14" s="176"/>
      <c r="M14" s="176"/>
      <c r="N14" s="176"/>
      <c r="O14" s="176"/>
      <c r="P14" s="176"/>
      <c r="Q14" s="176"/>
      <c r="R14" s="176"/>
      <c r="S14" s="176"/>
      <c r="T14" s="176"/>
      <c r="U14" s="176"/>
    </row>
    <row r="15" spans="1:21" x14ac:dyDescent="0.25">
      <c r="A15" s="176"/>
      <c r="B15" s="190"/>
      <c r="C15" s="183"/>
      <c r="D15" s="196"/>
      <c r="E15" s="185"/>
      <c r="F15" s="191"/>
      <c r="G15" s="176"/>
      <c r="H15" s="176"/>
      <c r="I15" s="176"/>
      <c r="J15" s="176"/>
      <c r="K15" s="176"/>
      <c r="L15" s="176"/>
      <c r="M15" s="176"/>
      <c r="N15" s="176"/>
      <c r="O15" s="176"/>
      <c r="P15" s="176"/>
      <c r="Q15" s="176"/>
      <c r="R15" s="176"/>
      <c r="S15" s="176"/>
      <c r="T15" s="176"/>
      <c r="U15" s="176"/>
    </row>
    <row r="16" spans="1:21" x14ac:dyDescent="0.25">
      <c r="A16" s="176"/>
      <c r="B16" s="190"/>
      <c r="C16" s="183"/>
      <c r="D16" s="196" t="s">
        <v>945</v>
      </c>
      <c r="E16" s="185" t="s">
        <v>97</v>
      </c>
      <c r="F16" s="191"/>
      <c r="G16" s="176"/>
      <c r="H16" s="176"/>
      <c r="I16" s="176"/>
      <c r="J16" s="176"/>
      <c r="K16" s="176"/>
      <c r="L16" s="176"/>
      <c r="M16" s="176"/>
      <c r="N16" s="176"/>
      <c r="O16" s="176"/>
      <c r="P16" s="176"/>
      <c r="Q16" s="176"/>
      <c r="R16" s="176"/>
      <c r="S16" s="176"/>
      <c r="T16" s="176"/>
      <c r="U16" s="176"/>
    </row>
    <row r="17" spans="1:21" x14ac:dyDescent="0.25">
      <c r="A17" s="176"/>
      <c r="B17" s="190"/>
      <c r="C17" s="183"/>
      <c r="D17" s="57"/>
      <c r="E17" s="185" t="s">
        <v>98</v>
      </c>
      <c r="F17" s="191"/>
      <c r="G17" s="176"/>
      <c r="H17" s="176"/>
      <c r="I17" s="176"/>
      <c r="J17" s="176"/>
      <c r="K17" s="176"/>
      <c r="L17" s="176"/>
      <c r="M17" s="176"/>
      <c r="N17" s="176"/>
      <c r="O17" s="176"/>
      <c r="P17" s="176"/>
      <c r="Q17" s="176"/>
      <c r="R17" s="176"/>
      <c r="S17" s="176"/>
      <c r="T17" s="176"/>
      <c r="U17" s="176"/>
    </row>
    <row r="18" spans="1:21" x14ac:dyDescent="0.25">
      <c r="A18" s="176"/>
      <c r="B18" s="190"/>
      <c r="C18" s="183"/>
      <c r="D18" s="57"/>
      <c r="E18" s="185"/>
      <c r="F18" s="191"/>
      <c r="G18" s="176"/>
      <c r="H18" s="176"/>
      <c r="I18" s="176"/>
      <c r="J18" s="176"/>
      <c r="K18" s="176"/>
      <c r="L18" s="176"/>
      <c r="M18" s="176"/>
      <c r="N18" s="176"/>
      <c r="O18" s="176"/>
      <c r="P18" s="176"/>
      <c r="Q18" s="176"/>
      <c r="R18" s="176"/>
      <c r="S18" s="176"/>
      <c r="T18" s="176"/>
      <c r="U18" s="176"/>
    </row>
    <row r="19" spans="1:21" x14ac:dyDescent="0.25">
      <c r="A19" s="176"/>
      <c r="B19" s="190"/>
      <c r="C19" s="194"/>
      <c r="D19" s="196" t="s">
        <v>937</v>
      </c>
      <c r="E19" s="185" t="s">
        <v>998</v>
      </c>
      <c r="F19" s="191"/>
      <c r="G19" s="176"/>
      <c r="H19" s="176"/>
      <c r="I19" s="176"/>
      <c r="J19" s="176"/>
      <c r="K19" s="176"/>
      <c r="L19" s="176"/>
      <c r="M19" s="176"/>
      <c r="N19" s="176"/>
      <c r="O19" s="176"/>
      <c r="P19" s="176"/>
      <c r="Q19" s="176"/>
      <c r="R19" s="176"/>
      <c r="S19" s="176"/>
      <c r="T19" s="176"/>
      <c r="U19" s="176"/>
    </row>
    <row r="20" spans="1:21" x14ac:dyDescent="0.25">
      <c r="A20" s="176"/>
      <c r="B20" s="190"/>
      <c r="C20" s="183"/>
      <c r="D20" s="57"/>
      <c r="E20" s="185"/>
      <c r="F20" s="191"/>
      <c r="G20" s="176"/>
      <c r="H20" s="176"/>
      <c r="I20" s="176"/>
      <c r="J20" s="176"/>
      <c r="K20" s="176"/>
      <c r="L20" s="176"/>
      <c r="M20" s="176"/>
      <c r="N20" s="176"/>
      <c r="O20" s="176"/>
      <c r="P20" s="176"/>
      <c r="Q20" s="176"/>
      <c r="R20" s="176"/>
      <c r="S20" s="176"/>
      <c r="T20" s="176"/>
      <c r="U20" s="176"/>
    </row>
    <row r="21" spans="1:21" x14ac:dyDescent="0.25">
      <c r="A21" s="176"/>
      <c r="B21" s="190"/>
      <c r="C21" s="183"/>
      <c r="D21" s="196" t="s">
        <v>272</v>
      </c>
      <c r="E21" s="185" t="s">
        <v>999</v>
      </c>
      <c r="F21" s="191"/>
      <c r="G21" s="176"/>
      <c r="H21" s="176"/>
      <c r="I21" s="176"/>
      <c r="J21" s="176"/>
      <c r="K21" s="176"/>
      <c r="L21" s="176"/>
      <c r="M21" s="176"/>
      <c r="N21" s="176"/>
      <c r="O21" s="176"/>
      <c r="P21" s="176"/>
      <c r="Q21" s="176"/>
      <c r="R21" s="176"/>
      <c r="S21" s="176"/>
      <c r="T21" s="176"/>
      <c r="U21" s="176"/>
    </row>
    <row r="22" spans="1:21" x14ac:dyDescent="0.25">
      <c r="A22" s="176"/>
      <c r="B22" s="190"/>
      <c r="C22" s="198"/>
      <c r="D22" s="57"/>
      <c r="E22" s="185"/>
      <c r="F22" s="191"/>
      <c r="G22" s="176"/>
      <c r="H22" s="176"/>
      <c r="I22" s="176"/>
      <c r="J22" s="176"/>
      <c r="K22" s="176"/>
      <c r="L22" s="176"/>
      <c r="M22" s="176"/>
      <c r="N22" s="176"/>
      <c r="O22" s="176"/>
      <c r="P22" s="176"/>
      <c r="Q22" s="176"/>
      <c r="R22" s="176"/>
      <c r="S22" s="176"/>
      <c r="T22" s="176"/>
      <c r="U22" s="176"/>
    </row>
    <row r="23" spans="1:21" x14ac:dyDescent="0.25">
      <c r="A23" s="176"/>
      <c r="B23" s="190"/>
      <c r="C23" s="183"/>
      <c r="D23" s="196" t="s">
        <v>946</v>
      </c>
      <c r="E23" s="185" t="s">
        <v>1000</v>
      </c>
      <c r="F23" s="191"/>
      <c r="G23" s="176"/>
      <c r="H23" s="176"/>
      <c r="I23" s="176"/>
      <c r="J23" s="176"/>
      <c r="K23" s="176"/>
      <c r="L23" s="176"/>
      <c r="M23" s="176"/>
      <c r="N23" s="176"/>
      <c r="O23" s="176"/>
      <c r="P23" s="176"/>
      <c r="Q23" s="176"/>
      <c r="R23" s="176"/>
      <c r="S23" s="176"/>
      <c r="T23" s="176"/>
      <c r="U23" s="176"/>
    </row>
    <row r="24" spans="1:21" x14ac:dyDescent="0.25">
      <c r="A24" s="176"/>
      <c r="B24" s="190"/>
      <c r="C24" s="198"/>
      <c r="D24" s="57"/>
      <c r="E24" s="185"/>
      <c r="F24" s="191"/>
      <c r="G24" s="176"/>
      <c r="H24" s="176"/>
      <c r="I24" s="176"/>
      <c r="J24" s="176"/>
      <c r="K24" s="176"/>
      <c r="L24" s="176"/>
      <c r="M24" s="176"/>
      <c r="N24" s="176"/>
      <c r="O24" s="176"/>
      <c r="P24" s="176"/>
      <c r="Q24" s="176"/>
      <c r="R24" s="176"/>
      <c r="S24" s="176"/>
      <c r="T24" s="176"/>
      <c r="U24" s="176"/>
    </row>
    <row r="25" spans="1:21" x14ac:dyDescent="0.25">
      <c r="A25" s="176"/>
      <c r="B25" s="190"/>
      <c r="C25" s="198"/>
      <c r="D25" s="196" t="s">
        <v>947</v>
      </c>
      <c r="E25" s="185" t="s">
        <v>1002</v>
      </c>
      <c r="F25" s="191"/>
      <c r="G25" s="176"/>
      <c r="H25" s="176"/>
      <c r="I25" s="176"/>
      <c r="J25" s="176"/>
      <c r="K25" s="176"/>
      <c r="L25" s="176"/>
      <c r="M25" s="176"/>
      <c r="N25" s="176"/>
      <c r="O25" s="176"/>
      <c r="P25" s="176"/>
      <c r="Q25" s="176"/>
      <c r="R25" s="176"/>
      <c r="S25" s="176"/>
      <c r="T25" s="176"/>
      <c r="U25" s="176"/>
    </row>
    <row r="26" spans="1:21" x14ac:dyDescent="0.25">
      <c r="A26" s="176"/>
      <c r="B26" s="190"/>
      <c r="C26" s="198"/>
      <c r="D26" s="196"/>
      <c r="E26" s="185"/>
      <c r="F26" s="191"/>
      <c r="G26" s="176"/>
      <c r="H26" s="176"/>
      <c r="I26" s="176"/>
      <c r="J26" s="176"/>
      <c r="K26" s="176"/>
      <c r="L26" s="176"/>
      <c r="M26" s="176"/>
      <c r="N26" s="176"/>
      <c r="O26" s="176"/>
      <c r="P26" s="176"/>
      <c r="Q26" s="176"/>
      <c r="R26" s="176"/>
      <c r="S26" s="176"/>
      <c r="T26" s="176"/>
      <c r="U26" s="176"/>
    </row>
    <row r="27" spans="1:21" x14ac:dyDescent="0.25">
      <c r="A27" s="176"/>
      <c r="B27" s="190"/>
      <c r="C27" s="199"/>
      <c r="D27" s="196" t="s">
        <v>994</v>
      </c>
      <c r="E27" s="185" t="s">
        <v>1001</v>
      </c>
      <c r="F27" s="191"/>
      <c r="G27" s="176"/>
      <c r="H27" s="176"/>
      <c r="I27" s="176"/>
      <c r="J27" s="176"/>
      <c r="K27" s="176"/>
      <c r="L27" s="176"/>
      <c r="M27" s="176"/>
      <c r="N27" s="176"/>
      <c r="O27" s="176"/>
      <c r="P27" s="176"/>
      <c r="Q27" s="176"/>
      <c r="R27" s="176"/>
      <c r="S27" s="176"/>
      <c r="T27" s="176"/>
      <c r="U27" s="176"/>
    </row>
    <row r="28" spans="1:21" x14ac:dyDescent="0.25">
      <c r="A28" s="176"/>
      <c r="B28" s="190"/>
      <c r="C28" s="183"/>
      <c r="D28" s="196"/>
      <c r="E28" s="185"/>
      <c r="F28" s="191"/>
      <c r="G28" s="176"/>
      <c r="H28" s="176"/>
      <c r="I28" s="176"/>
      <c r="J28" s="176"/>
      <c r="K28" s="176"/>
      <c r="L28" s="176"/>
      <c r="M28" s="176"/>
      <c r="N28" s="176"/>
      <c r="O28" s="176"/>
      <c r="P28" s="176"/>
      <c r="Q28" s="176"/>
      <c r="R28" s="176"/>
      <c r="S28" s="176"/>
      <c r="T28" s="176"/>
      <c r="U28" s="176"/>
    </row>
    <row r="29" spans="1:21" ht="23" x14ac:dyDescent="0.25">
      <c r="A29" s="176"/>
      <c r="B29" s="190"/>
      <c r="C29" s="183"/>
      <c r="D29" s="196" t="s">
        <v>363</v>
      </c>
      <c r="E29" s="197" t="s">
        <v>1003</v>
      </c>
      <c r="F29" s="191"/>
      <c r="G29" s="176"/>
      <c r="H29" s="176"/>
      <c r="I29" s="176"/>
      <c r="J29" s="176"/>
      <c r="K29" s="176"/>
      <c r="L29" s="176"/>
      <c r="M29" s="176"/>
      <c r="N29" s="176"/>
      <c r="O29" s="176"/>
      <c r="P29" s="176"/>
      <c r="Q29" s="176"/>
      <c r="R29" s="176"/>
      <c r="S29" s="176"/>
      <c r="T29" s="176"/>
      <c r="U29" s="176"/>
    </row>
    <row r="30" spans="1:21" x14ac:dyDescent="0.25">
      <c r="A30" s="176"/>
      <c r="B30" s="190"/>
      <c r="C30" s="183"/>
      <c r="D30" s="196"/>
      <c r="E30" s="185"/>
      <c r="F30" s="191"/>
      <c r="G30" s="176"/>
      <c r="H30" s="176"/>
      <c r="I30" s="176"/>
      <c r="J30" s="176"/>
      <c r="K30" s="176"/>
      <c r="L30" s="176"/>
      <c r="M30" s="176"/>
      <c r="N30" s="176"/>
      <c r="O30" s="176"/>
      <c r="P30" s="176"/>
      <c r="Q30" s="176"/>
      <c r="R30" s="176"/>
      <c r="S30" s="176"/>
      <c r="T30" s="176"/>
      <c r="U30" s="176"/>
    </row>
    <row r="31" spans="1:21" ht="23" x14ac:dyDescent="0.25">
      <c r="A31" s="176"/>
      <c r="B31" s="190"/>
      <c r="C31" s="183"/>
      <c r="D31" s="196" t="s">
        <v>948</v>
      </c>
      <c r="E31" s="197" t="s">
        <v>1004</v>
      </c>
      <c r="F31" s="191"/>
      <c r="G31" s="176"/>
      <c r="H31" s="176"/>
      <c r="I31" s="176"/>
      <c r="J31" s="176"/>
      <c r="K31" s="176"/>
      <c r="L31" s="176"/>
      <c r="M31" s="176"/>
      <c r="N31" s="176"/>
      <c r="O31" s="176"/>
      <c r="P31" s="176"/>
      <c r="Q31" s="176"/>
      <c r="R31" s="176"/>
      <c r="S31" s="176"/>
      <c r="T31" s="176"/>
      <c r="U31" s="176"/>
    </row>
    <row r="32" spans="1:21" ht="13" thickBot="1" x14ac:dyDescent="0.3">
      <c r="A32" s="176"/>
      <c r="B32" s="190"/>
      <c r="C32" s="181"/>
      <c r="D32" s="779"/>
      <c r="E32" s="182"/>
      <c r="F32" s="191"/>
      <c r="G32" s="176"/>
      <c r="H32" s="176"/>
      <c r="I32" s="176"/>
      <c r="J32" s="176"/>
      <c r="K32" s="176"/>
      <c r="L32" s="176"/>
      <c r="M32" s="176"/>
      <c r="N32" s="176"/>
      <c r="O32" s="176"/>
      <c r="P32" s="176"/>
      <c r="Q32" s="176"/>
      <c r="R32" s="176"/>
      <c r="S32" s="176"/>
      <c r="T32" s="176"/>
      <c r="U32" s="176"/>
    </row>
    <row r="33" spans="1:21" ht="13" x14ac:dyDescent="0.25">
      <c r="A33" s="176"/>
      <c r="B33" s="190"/>
      <c r="C33" s="183"/>
      <c r="D33" s="195"/>
      <c r="E33" s="185"/>
      <c r="F33" s="191"/>
      <c r="G33" s="176"/>
      <c r="H33" s="176"/>
      <c r="I33" s="176"/>
      <c r="J33" s="176"/>
      <c r="K33" s="176"/>
      <c r="L33" s="176"/>
      <c r="M33" s="176"/>
      <c r="N33" s="176"/>
      <c r="O33" s="176"/>
      <c r="P33" s="176"/>
      <c r="Q33" s="176"/>
      <c r="R33" s="176"/>
      <c r="S33" s="176"/>
      <c r="T33" s="176"/>
      <c r="U33" s="176"/>
    </row>
    <row r="34" spans="1:21" x14ac:dyDescent="0.25">
      <c r="A34" s="176"/>
      <c r="B34" s="190"/>
      <c r="C34" s="877" t="s">
        <v>1005</v>
      </c>
      <c r="D34" s="877"/>
      <c r="E34" s="877"/>
      <c r="F34" s="191"/>
      <c r="G34" s="176"/>
      <c r="H34" s="176"/>
      <c r="I34" s="176"/>
      <c r="J34" s="176"/>
      <c r="K34" s="176"/>
      <c r="L34" s="176"/>
      <c r="M34" s="176"/>
      <c r="N34" s="176"/>
      <c r="O34" s="176"/>
      <c r="P34" s="176"/>
      <c r="Q34" s="176"/>
      <c r="R34" s="176"/>
      <c r="S34" s="176"/>
      <c r="T34" s="176"/>
      <c r="U34" s="176"/>
    </row>
    <row r="35" spans="1:21" x14ac:dyDescent="0.25">
      <c r="A35" s="176"/>
      <c r="B35" s="190"/>
      <c r="C35" s="464"/>
      <c r="D35" s="464"/>
      <c r="E35" s="464"/>
      <c r="F35" s="191"/>
      <c r="G35" s="176"/>
      <c r="H35" s="176"/>
      <c r="I35" s="176"/>
      <c r="J35" s="176"/>
      <c r="K35" s="176"/>
      <c r="L35" s="176"/>
      <c r="M35" s="176"/>
      <c r="N35" s="176"/>
      <c r="O35" s="176"/>
      <c r="P35" s="176"/>
      <c r="Q35" s="176"/>
      <c r="R35" s="176"/>
      <c r="S35" s="176"/>
      <c r="T35" s="176"/>
      <c r="U35" s="176"/>
    </row>
    <row r="36" spans="1:21" ht="13" x14ac:dyDescent="0.25">
      <c r="A36" s="176"/>
      <c r="B36" s="190"/>
      <c r="C36" s="183" t="s">
        <v>150</v>
      </c>
      <c r="D36" s="184" t="s">
        <v>764</v>
      </c>
      <c r="E36" s="185" t="s">
        <v>99</v>
      </c>
      <c r="F36" s="191"/>
      <c r="G36" s="176"/>
      <c r="H36" s="176"/>
      <c r="I36" s="176"/>
      <c r="J36" s="176"/>
      <c r="K36" s="176"/>
      <c r="L36" s="176"/>
      <c r="M36" s="176"/>
      <c r="N36" s="176"/>
      <c r="O36" s="176"/>
      <c r="P36" s="176"/>
      <c r="Q36" s="176"/>
      <c r="R36" s="176"/>
      <c r="S36" s="176"/>
      <c r="T36" s="176"/>
      <c r="U36" s="176"/>
    </row>
    <row r="37" spans="1:21" ht="13" x14ac:dyDescent="0.25">
      <c r="A37" s="176"/>
      <c r="B37" s="190"/>
      <c r="C37" s="183"/>
      <c r="D37" s="195"/>
      <c r="E37" s="185"/>
      <c r="F37" s="191"/>
      <c r="G37" s="176"/>
      <c r="H37" s="176"/>
      <c r="I37" s="176"/>
      <c r="J37" s="176"/>
      <c r="K37" s="176"/>
      <c r="L37" s="176"/>
      <c r="M37" s="176"/>
      <c r="N37" s="176"/>
      <c r="O37" s="176"/>
      <c r="P37" s="176"/>
      <c r="Q37" s="176"/>
      <c r="R37" s="176"/>
      <c r="S37" s="176"/>
      <c r="T37" s="176"/>
      <c r="U37" s="176"/>
    </row>
    <row r="38" spans="1:21" ht="13" x14ac:dyDescent="0.25">
      <c r="A38" s="176"/>
      <c r="B38" s="190"/>
      <c r="C38" s="183" t="s">
        <v>151</v>
      </c>
      <c r="D38" s="184" t="s">
        <v>765</v>
      </c>
      <c r="E38" s="185" t="s">
        <v>455</v>
      </c>
      <c r="F38" s="191"/>
      <c r="G38" s="176"/>
      <c r="H38" s="176"/>
      <c r="I38" s="176"/>
      <c r="J38" s="176"/>
      <c r="K38" s="176"/>
      <c r="L38" s="176"/>
      <c r="M38" s="176"/>
      <c r="N38" s="176"/>
      <c r="O38" s="176"/>
      <c r="P38" s="176"/>
      <c r="Q38" s="176"/>
      <c r="R38" s="176"/>
      <c r="S38" s="176"/>
      <c r="T38" s="176"/>
      <c r="U38" s="176"/>
    </row>
    <row r="39" spans="1:21" ht="13.5" thickBot="1" x14ac:dyDescent="0.3">
      <c r="A39" s="176"/>
      <c r="B39" s="190"/>
      <c r="C39" s="181"/>
      <c r="D39" s="178"/>
      <c r="E39" s="182"/>
      <c r="F39" s="191"/>
      <c r="G39" s="176"/>
      <c r="H39" s="176"/>
      <c r="I39" s="176"/>
      <c r="J39" s="176"/>
      <c r="K39" s="176"/>
      <c r="L39" s="176"/>
      <c r="M39" s="176"/>
      <c r="N39" s="176"/>
      <c r="O39" s="176"/>
      <c r="P39" s="176"/>
      <c r="Q39" s="176"/>
      <c r="R39" s="176"/>
      <c r="S39" s="176"/>
      <c r="T39" s="176"/>
      <c r="U39" s="176"/>
    </row>
    <row r="40" spans="1:21" ht="13" x14ac:dyDescent="0.25">
      <c r="A40" s="176"/>
      <c r="B40" s="190"/>
      <c r="C40" s="183"/>
      <c r="D40" s="195"/>
      <c r="E40" s="185"/>
      <c r="F40" s="191"/>
      <c r="G40" s="176"/>
      <c r="H40" s="176"/>
      <c r="I40" s="176"/>
      <c r="J40" s="176"/>
      <c r="K40" s="176"/>
      <c r="L40" s="176"/>
      <c r="M40" s="176"/>
      <c r="N40" s="176"/>
      <c r="O40" s="176"/>
      <c r="P40" s="176"/>
      <c r="Q40" s="176"/>
      <c r="R40" s="176"/>
      <c r="S40" s="176"/>
      <c r="T40" s="176"/>
      <c r="U40" s="176"/>
    </row>
    <row r="41" spans="1:21" s="1" customFormat="1" ht="23.4" customHeight="1" x14ac:dyDescent="0.25">
      <c r="A41" s="780"/>
      <c r="B41" s="781"/>
      <c r="C41" s="878" t="s">
        <v>1070</v>
      </c>
      <c r="D41" s="878"/>
      <c r="E41" s="878"/>
      <c r="F41" s="191"/>
      <c r="G41" s="176"/>
      <c r="H41" s="780"/>
      <c r="I41" s="780"/>
      <c r="J41" s="780"/>
      <c r="K41" s="780"/>
      <c r="L41" s="780"/>
      <c r="M41" s="780"/>
      <c r="N41" s="780"/>
      <c r="O41" s="780"/>
      <c r="P41" s="780"/>
      <c r="Q41" s="780"/>
      <c r="R41" s="780"/>
      <c r="S41" s="176"/>
      <c r="T41" s="176"/>
      <c r="U41" s="176"/>
    </row>
    <row r="42" spans="1:21" ht="13" thickBot="1" x14ac:dyDescent="0.3">
      <c r="A42" s="176"/>
      <c r="B42" s="190"/>
      <c r="C42" s="180"/>
      <c r="D42" s="57"/>
      <c r="E42" s="180"/>
      <c r="F42" s="191"/>
      <c r="G42" s="176"/>
      <c r="H42" s="176"/>
      <c r="I42" s="176"/>
      <c r="J42" s="176"/>
      <c r="K42" s="176"/>
      <c r="L42" s="176"/>
      <c r="M42" s="176"/>
      <c r="N42" s="176"/>
      <c r="O42" s="176"/>
      <c r="P42" s="176"/>
      <c r="Q42" s="176"/>
      <c r="R42" s="176"/>
      <c r="S42" s="176"/>
      <c r="T42" s="176"/>
      <c r="U42" s="176"/>
    </row>
    <row r="43" spans="1:21" x14ac:dyDescent="0.25">
      <c r="A43" s="176"/>
      <c r="B43" s="190"/>
      <c r="C43" s="186"/>
      <c r="D43" s="871" t="s">
        <v>152</v>
      </c>
      <c r="E43" s="872"/>
      <c r="F43" s="191"/>
      <c r="G43" s="176"/>
      <c r="H43" s="176"/>
      <c r="I43" s="176"/>
      <c r="J43" s="176"/>
      <c r="K43" s="176"/>
      <c r="L43" s="176"/>
      <c r="M43" s="176"/>
      <c r="N43" s="176"/>
      <c r="O43" s="176"/>
      <c r="P43" s="176"/>
      <c r="Q43" s="176"/>
      <c r="R43" s="176"/>
      <c r="S43" s="176"/>
      <c r="T43" s="176"/>
      <c r="U43" s="176"/>
    </row>
    <row r="44" spans="1:21" x14ac:dyDescent="0.25">
      <c r="A44" s="176"/>
      <c r="B44" s="190"/>
      <c r="C44" s="187"/>
      <c r="D44" s="851"/>
      <c r="E44" s="852"/>
      <c r="F44" s="191"/>
      <c r="G44" s="176"/>
      <c r="H44" s="176"/>
      <c r="I44" s="176"/>
      <c r="J44" s="176"/>
      <c r="K44" s="176"/>
      <c r="L44" s="176"/>
      <c r="M44" s="176"/>
      <c r="N44" s="176"/>
      <c r="O44" s="176"/>
      <c r="P44" s="176"/>
      <c r="Q44" s="176"/>
      <c r="R44" s="176"/>
      <c r="S44" s="176"/>
      <c r="T44" s="176"/>
      <c r="U44" s="176"/>
    </row>
    <row r="45" spans="1:21" ht="15.5" x14ac:dyDescent="0.25">
      <c r="A45" s="176"/>
      <c r="B45" s="190"/>
      <c r="C45" s="187"/>
      <c r="D45" s="873" t="s">
        <v>1066</v>
      </c>
      <c r="E45" s="874"/>
      <c r="F45" s="191"/>
      <c r="G45" s="176"/>
      <c r="H45" s="176"/>
      <c r="I45" s="176"/>
      <c r="J45" s="176"/>
      <c r="K45" s="176"/>
      <c r="L45" s="176"/>
      <c r="M45" s="176"/>
      <c r="N45" s="176"/>
      <c r="O45" s="176"/>
      <c r="P45" s="176"/>
      <c r="Q45" s="176"/>
      <c r="R45" s="176"/>
      <c r="S45" s="176"/>
      <c r="T45" s="176"/>
      <c r="U45" s="176"/>
    </row>
    <row r="46" spans="1:21" x14ac:dyDescent="0.25">
      <c r="A46" s="176"/>
      <c r="B46" s="190"/>
      <c r="C46" s="187"/>
      <c r="D46" s="875" t="s">
        <v>153</v>
      </c>
      <c r="E46" s="876"/>
      <c r="F46" s="191"/>
      <c r="G46" s="176"/>
      <c r="H46" s="176"/>
      <c r="I46" s="176"/>
      <c r="J46" s="176"/>
      <c r="K46" s="176"/>
      <c r="L46" s="176"/>
      <c r="M46" s="176"/>
      <c r="N46" s="176"/>
      <c r="O46" s="176"/>
      <c r="P46" s="176"/>
      <c r="Q46" s="176"/>
      <c r="R46" s="176"/>
      <c r="S46" s="176"/>
      <c r="T46" s="176"/>
      <c r="U46" s="176"/>
    </row>
    <row r="47" spans="1:21" x14ac:dyDescent="0.25">
      <c r="A47" s="176"/>
      <c r="B47" s="190"/>
      <c r="C47" s="187"/>
      <c r="D47" s="875" t="s">
        <v>154</v>
      </c>
      <c r="E47" s="876"/>
      <c r="F47" s="191"/>
      <c r="G47" s="176"/>
      <c r="H47" s="176"/>
      <c r="I47" s="176"/>
      <c r="J47" s="176"/>
      <c r="K47" s="176"/>
      <c r="L47" s="176"/>
      <c r="M47" s="176"/>
      <c r="N47" s="176"/>
      <c r="O47" s="176"/>
      <c r="P47" s="176"/>
      <c r="Q47" s="176"/>
      <c r="R47" s="176"/>
      <c r="S47" s="176"/>
      <c r="T47" s="176"/>
      <c r="U47" s="176"/>
    </row>
    <row r="48" spans="1:21" x14ac:dyDescent="0.25">
      <c r="A48" s="176"/>
      <c r="B48" s="190"/>
      <c r="C48" s="187"/>
      <c r="D48" s="851" t="s">
        <v>1067</v>
      </c>
      <c r="E48" s="852"/>
      <c r="F48" s="191"/>
      <c r="G48" s="176"/>
      <c r="H48" s="176"/>
      <c r="I48" s="176"/>
      <c r="J48" s="176"/>
      <c r="K48" s="176"/>
      <c r="L48" s="176"/>
      <c r="M48" s="176"/>
      <c r="N48" s="176"/>
      <c r="O48" s="176"/>
      <c r="P48" s="176"/>
      <c r="Q48" s="176"/>
      <c r="R48" s="176"/>
      <c r="S48" s="176"/>
      <c r="T48" s="176"/>
      <c r="U48" s="176"/>
    </row>
    <row r="49" spans="1:21" x14ac:dyDescent="0.25">
      <c r="A49" s="176"/>
      <c r="B49" s="190"/>
      <c r="C49" s="187"/>
      <c r="D49" s="851" t="s">
        <v>1068</v>
      </c>
      <c r="E49" s="852"/>
      <c r="F49" s="191"/>
      <c r="G49" s="176"/>
      <c r="H49" s="176"/>
      <c r="I49" s="176"/>
      <c r="J49" s="176"/>
      <c r="K49" s="176"/>
      <c r="L49" s="176"/>
      <c r="M49" s="176"/>
      <c r="N49" s="176"/>
      <c r="O49" s="176"/>
      <c r="P49" s="176"/>
      <c r="Q49" s="176"/>
      <c r="R49" s="176"/>
      <c r="S49" s="176"/>
      <c r="T49" s="176"/>
      <c r="U49" s="176"/>
    </row>
    <row r="50" spans="1:21" x14ac:dyDescent="0.25">
      <c r="A50" s="176"/>
      <c r="B50" s="190"/>
      <c r="C50" s="187"/>
      <c r="D50" s="853" t="s">
        <v>1069</v>
      </c>
      <c r="E50" s="852"/>
      <c r="F50" s="191"/>
      <c r="G50" s="176"/>
      <c r="H50" s="176"/>
      <c r="I50" s="176"/>
      <c r="J50" s="176"/>
      <c r="K50" s="176"/>
      <c r="L50" s="176"/>
      <c r="M50" s="176"/>
      <c r="N50" s="176"/>
      <c r="O50" s="176"/>
      <c r="P50" s="176"/>
      <c r="Q50" s="176"/>
      <c r="R50" s="176"/>
      <c r="S50" s="176"/>
      <c r="T50" s="176"/>
      <c r="U50" s="176"/>
    </row>
    <row r="51" spans="1:21" x14ac:dyDescent="0.25">
      <c r="A51" s="176"/>
      <c r="B51" s="190"/>
      <c r="C51" s="187"/>
      <c r="D51" s="853"/>
      <c r="E51" s="852"/>
      <c r="F51" s="191"/>
      <c r="G51" s="176"/>
      <c r="H51" s="176"/>
      <c r="I51" s="176"/>
      <c r="J51" s="176"/>
      <c r="K51" s="176"/>
      <c r="L51" s="176"/>
      <c r="M51" s="176"/>
      <c r="N51" s="176"/>
      <c r="O51" s="176"/>
      <c r="P51" s="176"/>
      <c r="Q51" s="176"/>
      <c r="R51" s="176"/>
      <c r="S51" s="176"/>
      <c r="T51" s="176"/>
      <c r="U51" s="176"/>
    </row>
    <row r="52" spans="1:21" x14ac:dyDescent="0.25">
      <c r="A52" s="176"/>
      <c r="B52" s="190"/>
      <c r="C52" s="187"/>
      <c r="D52" s="851"/>
      <c r="E52" s="864" t="str">
        <f>[1]Introduction!$E$51</f>
        <v>Method-1 Spreadsheets Version March 2024</v>
      </c>
      <c r="F52" s="191"/>
      <c r="G52" s="176"/>
      <c r="H52" s="176"/>
      <c r="I52" s="176"/>
      <c r="J52" s="176"/>
      <c r="K52" s="176"/>
      <c r="L52" s="176"/>
      <c r="M52" s="176"/>
      <c r="N52" s="176"/>
      <c r="O52" s="176"/>
      <c r="P52" s="176"/>
      <c r="Q52" s="176"/>
      <c r="R52" s="176"/>
      <c r="S52" s="176"/>
      <c r="T52" s="176"/>
      <c r="U52" s="176"/>
    </row>
    <row r="53" spans="1:21" ht="13" thickBot="1" x14ac:dyDescent="0.3">
      <c r="A53" s="176"/>
      <c r="B53" s="190"/>
      <c r="C53" s="188"/>
      <c r="D53" s="868"/>
      <c r="E53" s="869"/>
      <c r="F53" s="191"/>
      <c r="G53" s="176"/>
      <c r="H53" s="176"/>
      <c r="I53" s="176"/>
      <c r="J53" s="176"/>
      <c r="K53" s="176"/>
      <c r="L53" s="176"/>
      <c r="M53" s="176"/>
      <c r="N53" s="176"/>
      <c r="O53" s="176"/>
      <c r="P53" s="176"/>
      <c r="Q53" s="176"/>
      <c r="R53" s="176"/>
      <c r="S53" s="176"/>
      <c r="T53" s="176"/>
      <c r="U53" s="176"/>
    </row>
    <row r="54" spans="1:21" ht="13" thickBot="1" x14ac:dyDescent="0.3">
      <c r="A54" s="176"/>
      <c r="B54" s="200"/>
      <c r="C54" s="201"/>
      <c r="D54" s="202"/>
      <c r="E54" s="201"/>
      <c r="F54" s="203"/>
      <c r="G54" s="176"/>
      <c r="H54" s="176"/>
      <c r="I54" s="176"/>
      <c r="J54" s="176"/>
      <c r="K54" s="176"/>
      <c r="L54" s="176"/>
      <c r="M54" s="176"/>
      <c r="N54" s="176"/>
      <c r="O54" s="176"/>
      <c r="P54" s="176"/>
      <c r="Q54" s="176"/>
      <c r="R54" s="176"/>
      <c r="S54" s="176"/>
      <c r="T54" s="176"/>
      <c r="U54" s="176"/>
    </row>
    <row r="55" spans="1:21" ht="13" thickTop="1" x14ac:dyDescent="0.25">
      <c r="A55" s="176"/>
      <c r="B55" s="176"/>
      <c r="C55" s="176"/>
      <c r="D55" s="189"/>
      <c r="E55" s="176"/>
      <c r="F55" s="176"/>
      <c r="G55" s="176"/>
      <c r="H55" s="176"/>
      <c r="I55" s="176"/>
      <c r="J55" s="176"/>
      <c r="K55" s="176"/>
      <c r="L55" s="176"/>
      <c r="M55" s="176"/>
      <c r="N55" s="176"/>
      <c r="O55" s="176"/>
      <c r="P55" s="176"/>
      <c r="Q55" s="176"/>
      <c r="R55" s="176"/>
      <c r="S55" s="176"/>
      <c r="T55" s="176"/>
      <c r="U55" s="176"/>
    </row>
    <row r="56" spans="1:21" x14ac:dyDescent="0.25">
      <c r="A56" s="176"/>
      <c r="B56" s="176"/>
      <c r="C56" s="176"/>
      <c r="D56" s="189"/>
      <c r="E56" s="176"/>
      <c r="F56" s="176"/>
      <c r="G56" s="176"/>
      <c r="H56" s="176"/>
      <c r="I56" s="176"/>
      <c r="J56" s="176"/>
      <c r="K56" s="176"/>
      <c r="L56" s="176"/>
      <c r="M56" s="176"/>
      <c r="N56" s="176"/>
      <c r="O56" s="176"/>
      <c r="P56" s="176"/>
      <c r="Q56" s="176"/>
      <c r="R56" s="176"/>
      <c r="S56" s="176"/>
      <c r="T56" s="176"/>
      <c r="U56" s="176"/>
    </row>
    <row r="57" spans="1:21" x14ac:dyDescent="0.25">
      <c r="A57" s="176"/>
      <c r="B57" s="176"/>
      <c r="C57" s="176"/>
      <c r="D57" s="189"/>
      <c r="E57" s="176"/>
      <c r="F57" s="176"/>
      <c r="G57" s="176"/>
      <c r="H57" s="176"/>
      <c r="I57" s="176"/>
      <c r="J57" s="176"/>
      <c r="K57" s="176"/>
      <c r="L57" s="176"/>
      <c r="M57" s="176"/>
      <c r="N57" s="176"/>
      <c r="O57" s="176"/>
      <c r="P57" s="176"/>
      <c r="Q57" s="176"/>
      <c r="R57" s="176"/>
      <c r="S57" s="176"/>
      <c r="T57" s="176"/>
      <c r="U57" s="176"/>
    </row>
    <row r="58" spans="1:21" x14ac:dyDescent="0.25">
      <c r="A58" s="176"/>
      <c r="B58" s="176"/>
      <c r="C58" s="176"/>
      <c r="D58" s="189"/>
      <c r="E58" s="176"/>
      <c r="F58" s="176"/>
      <c r="G58" s="176"/>
      <c r="H58" s="176"/>
      <c r="I58" s="176"/>
      <c r="J58" s="176"/>
      <c r="K58" s="176"/>
      <c r="L58" s="176"/>
      <c r="M58" s="176"/>
      <c r="N58" s="176"/>
      <c r="O58" s="176"/>
      <c r="P58" s="176"/>
      <c r="Q58" s="176"/>
      <c r="R58" s="176"/>
      <c r="S58" s="176"/>
      <c r="T58" s="176"/>
      <c r="U58" s="176"/>
    </row>
    <row r="59" spans="1:21" x14ac:dyDescent="0.25">
      <c r="A59" s="176"/>
      <c r="B59" s="176"/>
      <c r="C59" s="176"/>
      <c r="D59" s="189"/>
      <c r="E59" s="176"/>
      <c r="F59" s="176"/>
      <c r="G59" s="176"/>
      <c r="H59" s="176"/>
      <c r="I59" s="176"/>
      <c r="J59" s="176"/>
      <c r="K59" s="176"/>
      <c r="L59" s="176"/>
      <c r="M59" s="176"/>
      <c r="N59" s="176"/>
      <c r="O59" s="176"/>
      <c r="P59" s="176"/>
      <c r="Q59" s="176"/>
      <c r="R59" s="176"/>
      <c r="S59" s="176"/>
      <c r="T59" s="176"/>
      <c r="U59" s="176"/>
    </row>
    <row r="60" spans="1:21" x14ac:dyDescent="0.25">
      <c r="A60" s="176"/>
      <c r="B60" s="176"/>
      <c r="C60" s="176"/>
      <c r="D60" s="189"/>
      <c r="E60" s="176"/>
      <c r="F60" s="176"/>
      <c r="G60" s="176"/>
      <c r="H60" s="176"/>
      <c r="I60" s="176"/>
      <c r="J60" s="176"/>
      <c r="K60" s="176"/>
      <c r="L60" s="176"/>
      <c r="M60" s="176"/>
      <c r="N60" s="176"/>
      <c r="O60" s="176"/>
      <c r="P60" s="176"/>
      <c r="Q60" s="176"/>
      <c r="R60" s="176"/>
      <c r="S60" s="176"/>
      <c r="T60" s="176"/>
      <c r="U60" s="176"/>
    </row>
    <row r="61" spans="1:21" x14ac:dyDescent="0.25">
      <c r="A61" s="176"/>
      <c r="B61" s="176"/>
      <c r="C61" s="176"/>
      <c r="D61" s="189"/>
      <c r="E61" s="176"/>
      <c r="F61" s="176"/>
      <c r="G61" s="176"/>
      <c r="H61" s="176"/>
      <c r="I61" s="176"/>
      <c r="J61" s="176"/>
      <c r="K61" s="176"/>
      <c r="L61" s="176"/>
      <c r="M61" s="176"/>
      <c r="N61" s="176"/>
      <c r="O61" s="176"/>
      <c r="P61" s="176"/>
      <c r="Q61" s="176"/>
      <c r="R61" s="176"/>
      <c r="S61" s="176"/>
      <c r="T61" s="176"/>
      <c r="U61" s="176"/>
    </row>
    <row r="62" spans="1:21" x14ac:dyDescent="0.25">
      <c r="A62" s="176"/>
      <c r="B62" s="176"/>
      <c r="C62" s="176"/>
      <c r="D62" s="189"/>
      <c r="E62" s="176"/>
      <c r="F62" s="176"/>
      <c r="G62" s="176"/>
      <c r="H62" s="176"/>
      <c r="I62" s="176"/>
      <c r="J62" s="176"/>
      <c r="K62" s="176"/>
      <c r="L62" s="176"/>
      <c r="M62" s="176"/>
      <c r="N62" s="176"/>
      <c r="O62" s="176"/>
      <c r="P62" s="176"/>
      <c r="Q62" s="176"/>
      <c r="R62" s="176"/>
      <c r="S62" s="176"/>
      <c r="T62" s="176"/>
      <c r="U62" s="176"/>
    </row>
    <row r="63" spans="1:21" x14ac:dyDescent="0.25">
      <c r="A63" s="176"/>
      <c r="B63" s="176"/>
      <c r="C63" s="176"/>
      <c r="D63" s="189"/>
      <c r="E63" s="176"/>
      <c r="F63" s="176"/>
      <c r="G63" s="176"/>
      <c r="H63" s="176"/>
      <c r="I63" s="176"/>
      <c r="J63" s="176"/>
      <c r="K63" s="176"/>
      <c r="L63" s="176"/>
      <c r="M63" s="176"/>
      <c r="N63" s="176"/>
      <c r="O63" s="176"/>
      <c r="P63" s="176"/>
      <c r="Q63" s="176"/>
      <c r="R63" s="176"/>
      <c r="S63" s="176"/>
      <c r="T63" s="176"/>
      <c r="U63" s="176"/>
    </row>
    <row r="64" spans="1:21" x14ac:dyDescent="0.25">
      <c r="A64" s="176"/>
      <c r="B64" s="176"/>
      <c r="C64" s="176"/>
      <c r="D64" s="189"/>
      <c r="E64" s="176"/>
      <c r="F64" s="176"/>
      <c r="G64" s="176"/>
      <c r="H64" s="176"/>
      <c r="I64" s="176"/>
      <c r="J64" s="176"/>
      <c r="K64" s="176"/>
      <c r="L64" s="176"/>
      <c r="M64" s="176"/>
      <c r="N64" s="176"/>
      <c r="O64" s="176"/>
      <c r="P64" s="176"/>
      <c r="Q64" s="176"/>
      <c r="R64" s="176"/>
      <c r="S64" s="176"/>
      <c r="T64" s="176"/>
      <c r="U64" s="176"/>
    </row>
    <row r="65" spans="1:21" x14ac:dyDescent="0.25">
      <c r="A65" s="176"/>
      <c r="B65" s="176"/>
      <c r="C65" s="176"/>
      <c r="D65" s="189"/>
      <c r="E65" s="176"/>
      <c r="F65" s="176"/>
      <c r="G65" s="176"/>
      <c r="H65" s="176"/>
      <c r="I65" s="176"/>
      <c r="J65" s="176"/>
      <c r="K65" s="176"/>
      <c r="L65" s="176"/>
      <c r="M65" s="176"/>
      <c r="N65" s="176"/>
      <c r="O65" s="176"/>
      <c r="P65" s="176"/>
      <c r="Q65" s="176"/>
      <c r="R65" s="176"/>
      <c r="S65" s="176"/>
      <c r="T65" s="176"/>
      <c r="U65" s="176"/>
    </row>
    <row r="66" spans="1:21" x14ac:dyDescent="0.25">
      <c r="A66" s="176"/>
      <c r="B66" s="176"/>
      <c r="C66" s="176"/>
      <c r="D66" s="189"/>
      <c r="E66" s="176"/>
      <c r="F66" s="176"/>
      <c r="G66" s="176"/>
      <c r="H66" s="176"/>
      <c r="I66" s="176"/>
      <c r="J66" s="176"/>
      <c r="K66" s="176"/>
      <c r="L66" s="176"/>
      <c r="M66" s="176"/>
      <c r="N66" s="176"/>
      <c r="O66" s="176"/>
      <c r="P66" s="176"/>
      <c r="Q66" s="176"/>
      <c r="R66" s="176"/>
      <c r="S66" s="176"/>
      <c r="T66" s="176"/>
      <c r="U66" s="176"/>
    </row>
    <row r="67" spans="1:21" x14ac:dyDescent="0.25">
      <c r="A67" s="176"/>
      <c r="B67" s="176"/>
      <c r="C67" s="176"/>
      <c r="D67" s="189"/>
      <c r="E67" s="176"/>
      <c r="F67" s="176"/>
      <c r="G67" s="176"/>
      <c r="H67" s="176"/>
      <c r="I67" s="176"/>
      <c r="J67" s="176"/>
      <c r="K67" s="176"/>
      <c r="L67" s="176"/>
      <c r="M67" s="176"/>
      <c r="N67" s="176"/>
      <c r="O67" s="176"/>
      <c r="P67" s="176"/>
      <c r="Q67" s="176"/>
      <c r="R67" s="176"/>
      <c r="S67" s="176"/>
      <c r="T67" s="176"/>
      <c r="U67" s="176"/>
    </row>
    <row r="68" spans="1:21" x14ac:dyDescent="0.25">
      <c r="A68" s="176"/>
      <c r="B68" s="176"/>
      <c r="C68" s="176"/>
      <c r="D68" s="189"/>
      <c r="E68" s="176"/>
      <c r="F68" s="176"/>
      <c r="G68" s="176"/>
      <c r="H68" s="176"/>
      <c r="I68" s="176"/>
      <c r="J68" s="176"/>
      <c r="K68" s="176"/>
      <c r="L68" s="176"/>
      <c r="M68" s="176"/>
      <c r="N68" s="176"/>
      <c r="O68" s="176"/>
      <c r="P68" s="176"/>
      <c r="Q68" s="176"/>
      <c r="R68" s="176"/>
      <c r="S68" s="176"/>
      <c r="T68" s="176"/>
      <c r="U68" s="176"/>
    </row>
    <row r="69" spans="1:21" x14ac:dyDescent="0.25">
      <c r="A69" s="176"/>
      <c r="B69" s="176"/>
      <c r="C69" s="176"/>
      <c r="D69" s="189"/>
      <c r="E69" s="176"/>
      <c r="F69" s="176"/>
      <c r="G69" s="176"/>
      <c r="H69" s="176"/>
      <c r="I69" s="176"/>
      <c r="J69" s="176"/>
      <c r="K69" s="176"/>
      <c r="L69" s="176"/>
      <c r="M69" s="176"/>
      <c r="N69" s="176"/>
      <c r="O69" s="176"/>
      <c r="P69" s="176"/>
      <c r="Q69" s="176"/>
      <c r="R69" s="176"/>
      <c r="S69" s="176"/>
      <c r="T69" s="176"/>
      <c r="U69" s="176"/>
    </row>
    <row r="70" spans="1:21" x14ac:dyDescent="0.25">
      <c r="A70" s="176"/>
      <c r="B70" s="176"/>
      <c r="C70" s="176"/>
      <c r="D70" s="189"/>
      <c r="E70" s="176"/>
      <c r="F70" s="176"/>
      <c r="G70" s="176"/>
      <c r="H70" s="176"/>
      <c r="I70" s="176"/>
      <c r="J70" s="176"/>
      <c r="K70" s="176"/>
      <c r="L70" s="176"/>
      <c r="M70" s="176"/>
      <c r="N70" s="176"/>
      <c r="O70" s="176"/>
      <c r="P70" s="176"/>
      <c r="Q70" s="176"/>
      <c r="R70" s="176"/>
      <c r="S70" s="176"/>
      <c r="T70" s="176"/>
      <c r="U70" s="176"/>
    </row>
    <row r="71" spans="1:21" x14ac:dyDescent="0.25">
      <c r="A71" s="176"/>
      <c r="B71" s="176"/>
      <c r="C71" s="176"/>
      <c r="D71" s="189"/>
      <c r="E71" s="176"/>
      <c r="F71" s="176"/>
      <c r="G71" s="176"/>
      <c r="H71" s="176"/>
      <c r="I71" s="176"/>
      <c r="J71" s="176"/>
      <c r="K71" s="176"/>
      <c r="L71" s="176"/>
      <c r="M71" s="176"/>
      <c r="N71" s="176"/>
      <c r="O71" s="176"/>
      <c r="P71" s="176"/>
      <c r="Q71" s="176"/>
      <c r="R71" s="176"/>
      <c r="S71" s="176"/>
      <c r="T71" s="176"/>
      <c r="U71" s="176"/>
    </row>
    <row r="72" spans="1:21" x14ac:dyDescent="0.25">
      <c r="A72" s="176"/>
      <c r="B72" s="176"/>
      <c r="C72" s="176"/>
      <c r="D72" s="189"/>
      <c r="E72" s="176"/>
      <c r="F72" s="176"/>
      <c r="G72" s="176"/>
      <c r="H72" s="176"/>
      <c r="I72" s="176"/>
      <c r="J72" s="176"/>
      <c r="K72" s="176"/>
      <c r="L72" s="176"/>
      <c r="M72" s="176"/>
      <c r="N72" s="176"/>
      <c r="O72" s="176"/>
      <c r="P72" s="176"/>
      <c r="Q72" s="176"/>
      <c r="R72" s="176"/>
      <c r="S72" s="176"/>
      <c r="T72" s="176"/>
      <c r="U72" s="176"/>
    </row>
    <row r="73" spans="1:21" x14ac:dyDescent="0.25">
      <c r="A73" s="176"/>
      <c r="B73" s="176"/>
      <c r="C73" s="176"/>
      <c r="D73" s="189"/>
      <c r="E73" s="176"/>
      <c r="F73" s="176"/>
      <c r="G73" s="176"/>
      <c r="H73" s="176"/>
      <c r="I73" s="176"/>
      <c r="J73" s="176"/>
      <c r="K73" s="176"/>
      <c r="L73" s="176"/>
      <c r="M73" s="176"/>
      <c r="N73" s="176"/>
      <c r="O73" s="176"/>
      <c r="P73" s="176"/>
      <c r="Q73" s="176"/>
      <c r="R73" s="176"/>
      <c r="S73" s="176"/>
      <c r="T73" s="176"/>
      <c r="U73" s="176"/>
    </row>
  </sheetData>
  <sheetProtection sheet="1" objects="1" scenarios="1"/>
  <mergeCells count="11">
    <mergeCell ref="B1:F1"/>
    <mergeCell ref="D53:E53"/>
    <mergeCell ref="D4:E4"/>
    <mergeCell ref="D43:E43"/>
    <mergeCell ref="D45:E45"/>
    <mergeCell ref="D46:E46"/>
    <mergeCell ref="C34:E34"/>
    <mergeCell ref="D47:E47"/>
    <mergeCell ref="C41:E41"/>
    <mergeCell ref="B2:F2"/>
    <mergeCell ref="B3:F3"/>
  </mergeCells>
  <phoneticPr fontId="0" type="noConversion"/>
  <hyperlinks>
    <hyperlink ref="D10" location="'GW-1'!A1" display="GW-1" xr:uid="{00000000-0004-0000-0000-000000000000}"/>
    <hyperlink ref="D12" location="'GW-1 Exp'!A1" display="GW-1 Exp" xr:uid="{00000000-0004-0000-0000-000001000000}"/>
    <hyperlink ref="D14" location="'GW-1 Inhale'!Print_Area" display="GW-1 Inhale" xr:uid="{00000000-0004-0000-0000-000002000000}"/>
    <hyperlink ref="D16" location="'GW-1 Derm'!Print_Area" display="GW-1 Derm" xr:uid="{00000000-0004-0000-0000-000003000000}"/>
    <hyperlink ref="D21" location="'GW-2'!A1" display="GW-2" xr:uid="{00000000-0004-0000-0000-000004000000}"/>
    <hyperlink ref="D23" location="'GW-2'!Print_Area" display="GW-2 Exp" xr:uid="{00000000-0004-0000-0000-000005000000}"/>
    <hyperlink ref="D29" location="'GW-3'!A1" display="GW-3" xr:uid="{00000000-0004-0000-0000-000006000000}"/>
    <hyperlink ref="D31" location="'GW-3 SW Target'!A1" display="GW-3 SW Target" xr:uid="{00000000-0004-0000-0000-000007000000}"/>
    <hyperlink ref="D36" r:id="rId1" xr:uid="{00000000-0004-0000-0000-000008000000}"/>
    <hyperlink ref="D38" r:id="rId2" xr:uid="{00000000-0004-0000-0000-000009000000}"/>
    <hyperlink ref="D19" location="'GW-1 VC &amp; TCE'!A1" display="GW-1 VC &amp;TCE" xr:uid="{00000000-0004-0000-0000-00000A000000}"/>
    <hyperlink ref="D27" location="'GW-2 TCE &amp; VC'!A1" display="GW-2 TCE &amp; VC" xr:uid="{00000000-0004-0000-0000-00000B000000}"/>
    <hyperlink ref="D25" location="'GW-2 IA Bkgrd'!A1" display="GW-2 IA Bkgrd" xr:uid="{00000000-0004-0000-0000-00000C000000}"/>
  </hyperlinks>
  <printOptions horizontalCentered="1"/>
  <pageMargins left="0.75" right="0.75" top="1" bottom="0.75" header="0.5" footer="0.25"/>
  <pageSetup scale="85" orientation="portrait" r:id="rId3"/>
  <headerFooter>
    <oddHeader>&amp;C&amp;"Arial,Bold"MCP Numerical Standards Derivation</oddHeader>
    <oddFooter>&amp;L&amp;"Arial,Regular"&amp;8MassDEP&amp;C&amp;"Arial,Regular"&amp;8 2024&amp;R&amp;"Arial,Regular"&amp;8Workbbook: &amp;F
Sheet:  Introduction
Page &amp;P of &amp;N</oddFooter>
  </headerFooter>
  <ignoredErrors>
    <ignoredError sqref="C36 C38"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2"/>
  <sheetViews>
    <sheetView showGridLines="0" showRowColHeaders="0" workbookViewId="0">
      <selection activeCell="A3" sqref="A3"/>
    </sheetView>
  </sheetViews>
  <sheetFormatPr defaultRowHeight="12.5" x14ac:dyDescent="0.25"/>
  <cols>
    <col min="1" max="1" width="29.4140625" customWidth="1"/>
    <col min="2" max="2" width="14" customWidth="1"/>
    <col min="3" max="3" width="12.75" customWidth="1"/>
    <col min="4" max="4" width="10.33203125" customWidth="1"/>
    <col min="5" max="5" width="15.75" customWidth="1"/>
    <col min="6" max="6" width="10.9140625" customWidth="1"/>
    <col min="8" max="8" width="11.4140625" bestFit="1" customWidth="1"/>
    <col min="9" max="9" width="4.25" customWidth="1"/>
    <col min="10" max="10" width="1" customWidth="1"/>
  </cols>
  <sheetData>
    <row r="1" spans="1:8" ht="14.5" x14ac:dyDescent="0.35">
      <c r="A1" s="302" t="s">
        <v>950</v>
      </c>
    </row>
    <row r="2" spans="1:8" ht="14.5" x14ac:dyDescent="0.35">
      <c r="A2" s="302" t="s">
        <v>1065</v>
      </c>
    </row>
    <row r="3" spans="1:8" ht="15" thickBot="1" x14ac:dyDescent="0.4">
      <c r="A3" s="34"/>
    </row>
    <row r="4" spans="1:8" ht="14.5" x14ac:dyDescent="0.35">
      <c r="A4" s="303" t="s">
        <v>972</v>
      </c>
      <c r="B4" s="304"/>
      <c r="C4" s="304"/>
      <c r="D4" s="304"/>
      <c r="E4" s="305"/>
    </row>
    <row r="5" spans="1:8" ht="14.5" x14ac:dyDescent="0.25">
      <c r="A5" s="306"/>
      <c r="B5" s="48" t="s">
        <v>959</v>
      </c>
      <c r="C5" s="49"/>
      <c r="D5" s="49"/>
      <c r="E5" s="307"/>
    </row>
    <row r="6" spans="1:8" x14ac:dyDescent="0.25">
      <c r="A6" s="308" t="s">
        <v>951</v>
      </c>
      <c r="B6" s="337">
        <v>3.0000000000000001E-6</v>
      </c>
      <c r="C6" s="49"/>
      <c r="D6" s="49"/>
      <c r="E6" s="307"/>
    </row>
    <row r="7" spans="1:8" x14ac:dyDescent="0.25">
      <c r="A7" s="309" t="s">
        <v>952</v>
      </c>
      <c r="B7" s="338">
        <v>9.9999999999999995E-7</v>
      </c>
      <c r="C7" s="49"/>
      <c r="D7" s="49"/>
      <c r="E7" s="307"/>
    </row>
    <row r="8" spans="1:8" ht="19.75" customHeight="1" x14ac:dyDescent="0.25">
      <c r="A8" s="310"/>
      <c r="B8" s="50"/>
      <c r="C8" s="50"/>
      <c r="D8" s="50"/>
      <c r="E8" s="311"/>
    </row>
    <row r="9" spans="1:8" ht="70.75" customHeight="1" x14ac:dyDescent="0.3">
      <c r="A9" s="321" t="s">
        <v>156</v>
      </c>
      <c r="B9" s="322" t="s">
        <v>1025</v>
      </c>
      <c r="C9" s="322" t="s">
        <v>1024</v>
      </c>
      <c r="D9" s="322" t="s">
        <v>1023</v>
      </c>
      <c r="E9" s="323" t="s">
        <v>928</v>
      </c>
    </row>
    <row r="10" spans="1:8" ht="20.399999999999999" customHeight="1" thickBot="1" x14ac:dyDescent="0.35">
      <c r="A10" s="324" t="s">
        <v>254</v>
      </c>
      <c r="B10" s="325">
        <f>0.000003*(1/('GW-2 Exp'!G26))</f>
        <v>1.2857142857142856E-6</v>
      </c>
      <c r="C10" s="325">
        <f>0.000001*(1/('GW-2 Exp'!$H$34))</f>
        <v>9.2105263157894741E-7</v>
      </c>
      <c r="D10" s="325">
        <f>B10+C10</f>
        <v>2.206766917293233E-6</v>
      </c>
      <c r="E10" s="333">
        <f>'[1]Target Risk'!$D$12/D10</f>
        <v>0.45315161839863716</v>
      </c>
    </row>
    <row r="11" spans="1:8" x14ac:dyDescent="0.25">
      <c r="B11" s="29"/>
    </row>
    <row r="13" spans="1:8" ht="13" thickBot="1" x14ac:dyDescent="0.3"/>
    <row r="14" spans="1:8" ht="14.5" x14ac:dyDescent="0.35">
      <c r="A14" s="315" t="s">
        <v>973</v>
      </c>
      <c r="B14" s="316"/>
      <c r="C14" s="316"/>
      <c r="D14" s="316"/>
      <c r="E14" s="316"/>
      <c r="F14" s="316"/>
      <c r="G14" s="316"/>
      <c r="H14" s="313"/>
    </row>
    <row r="15" spans="1:8" x14ac:dyDescent="0.25">
      <c r="A15" s="312"/>
      <c r="B15" s="35"/>
      <c r="C15" s="35"/>
      <c r="D15" s="35"/>
      <c r="E15" s="35"/>
      <c r="F15" s="36"/>
      <c r="G15" s="35"/>
      <c r="H15" s="314"/>
    </row>
    <row r="16" spans="1:8" ht="13" x14ac:dyDescent="0.3">
      <c r="A16" s="317"/>
      <c r="B16" s="945" t="s">
        <v>920</v>
      </c>
      <c r="C16" s="945"/>
      <c r="D16" s="945"/>
      <c r="E16" s="945"/>
      <c r="F16" s="318"/>
      <c r="G16" s="319"/>
      <c r="H16" s="320" t="s">
        <v>976</v>
      </c>
    </row>
    <row r="17" spans="1:9" ht="41" x14ac:dyDescent="0.3">
      <c r="A17" s="326" t="s">
        <v>156</v>
      </c>
      <c r="B17" s="336" t="s">
        <v>953</v>
      </c>
      <c r="C17" s="336" t="s">
        <v>954</v>
      </c>
      <c r="D17" s="336" t="s">
        <v>955</v>
      </c>
      <c r="E17" s="336" t="s">
        <v>956</v>
      </c>
      <c r="F17" s="37" t="s">
        <v>957</v>
      </c>
      <c r="G17" s="37" t="s">
        <v>958</v>
      </c>
      <c r="H17" s="327" t="s">
        <v>977</v>
      </c>
    </row>
    <row r="18" spans="1:9" ht="13.5" thickBot="1" x14ac:dyDescent="0.35">
      <c r="A18" s="328" t="s">
        <v>258</v>
      </c>
      <c r="B18" s="329">
        <f>('GW-2 Exp'!B30*('GW-2 Exp'!C30/'GW-2 Exp'!C30))/'GW-2 Exp'!F30</f>
        <v>1</v>
      </c>
      <c r="C18" s="330">
        <f>('GW-2 Exp'!B31*('GW-2 Exp'!C31/'GW-2 Exp'!D31))/'GW-2 Exp'!F31</f>
        <v>5.7142857142857141E-2</v>
      </c>
      <c r="D18" s="330">
        <f>('GW-2 Exp'!B32*('GW-2 Exp'!C32/'GW-2 Exp'!D32))/'GW-2 Exp'!F32</f>
        <v>0.14285714285714285</v>
      </c>
      <c r="E18" s="329">
        <f>('GW-2 Exp'!B33*('GW-2 Exp'!C33/'GW-2 Exp'!D33))/'GW-2 Exp'!F33</f>
        <v>0.2</v>
      </c>
      <c r="F18" s="329">
        <f>SUM(B18:E18)</f>
        <v>1.4</v>
      </c>
      <c r="G18" s="331">
        <v>4.4000000000000002E-6</v>
      </c>
      <c r="H18" s="332">
        <f>0.000001/(F18*G18)</f>
        <v>0.16233766233766231</v>
      </c>
    </row>
    <row r="19" spans="1:9" x14ac:dyDescent="0.25">
      <c r="A19" s="1"/>
      <c r="B19" s="1"/>
      <c r="C19" s="1"/>
      <c r="D19" s="1"/>
      <c r="E19" s="1"/>
      <c r="F19" s="2"/>
      <c r="G19" s="1"/>
      <c r="H19" s="1"/>
    </row>
    <row r="20" spans="1:9" s="30" customFormat="1" ht="13" x14ac:dyDescent="0.3">
      <c r="F20" s="31"/>
      <c r="I20"/>
    </row>
    <row r="21" spans="1:9" ht="13" x14ac:dyDescent="0.3">
      <c r="A21" s="370" t="s">
        <v>1063</v>
      </c>
      <c r="B21" s="1"/>
      <c r="C21" s="1"/>
      <c r="D21" s="1"/>
      <c r="E21" s="1"/>
      <c r="F21" s="2"/>
      <c r="G21" s="1"/>
      <c r="H21" s="1"/>
    </row>
    <row r="22" spans="1:9" x14ac:dyDescent="0.25">
      <c r="A22" s="1"/>
      <c r="B22" s="1"/>
      <c r="C22" s="1"/>
      <c r="D22" s="1"/>
      <c r="E22" s="1"/>
      <c r="F22" s="2"/>
      <c r="G22" s="1"/>
      <c r="H22" s="1"/>
    </row>
  </sheetData>
  <sheetProtection sheet="1" objects="1" scenarios="1"/>
  <mergeCells count="1">
    <mergeCell ref="B16:E16"/>
  </mergeCells>
  <printOptions horizontalCentered="1"/>
  <pageMargins left="0.7" right="0.7" top="0.75" bottom="0.75" header="0.3" footer="0.3"/>
  <pageSetup pageOrder="overThenDown" orientation="landscape" r:id="rId1"/>
  <headerFooter>
    <oddHeader>&amp;C&amp;"Arial,Regular"&amp;8MCP Method 1 Standards</oddHeader>
    <oddFooter>&amp;L&amp;"Arial,Regular"&amp;8MassDEP&amp;C&amp;"Arial,Regular"&amp;8 2024&amp;R&amp;"Arial,Regular"&amp;8Workbook: &amp;F
Sheet: &amp;A
&amp;P of &amp;N</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60"/>
  <sheetViews>
    <sheetView showGridLines="0" showZeros="0" zoomScaleNormal="100" workbookViewId="0">
      <pane xSplit="1" ySplit="6" topLeftCell="B7" activePane="bottomRight" state="frozen"/>
      <selection activeCell="K99" sqref="K99"/>
      <selection pane="topRight" activeCell="K99" sqref="K99"/>
      <selection pane="bottomLeft" activeCell="K99" sqref="K99"/>
      <selection pane="bottomRight" activeCell="A7" sqref="A7"/>
    </sheetView>
  </sheetViews>
  <sheetFormatPr defaultColWidth="9" defaultRowHeight="12.5" x14ac:dyDescent="0.25"/>
  <cols>
    <col min="1" max="1" width="33.9140625" style="55" customWidth="1"/>
    <col min="2" max="2" width="9.33203125" style="58" bestFit="1" customWidth="1"/>
    <col min="3" max="3" width="15.25" style="58" customWidth="1"/>
    <col min="4" max="4" width="9.08203125" style="58" bestFit="1" customWidth="1"/>
    <col min="5" max="5" width="8.4140625" style="58" bestFit="1" customWidth="1"/>
    <col min="6" max="6" width="9.25" style="58" bestFit="1" customWidth="1"/>
    <col min="7" max="7" width="9.25" style="58" customWidth="1"/>
    <col min="8" max="8" width="9.4140625" style="58" customWidth="1"/>
    <col min="9" max="9" width="8.08203125" style="58" customWidth="1"/>
    <col min="10" max="10" width="15.25" style="58" bestFit="1" customWidth="1"/>
    <col min="11" max="11" width="7.75" style="58" customWidth="1"/>
    <col min="12" max="12" width="8.9140625" style="204" customWidth="1"/>
    <col min="13" max="16384" width="9" style="58"/>
  </cols>
  <sheetData>
    <row r="1" spans="1:13" ht="16" thickTop="1" x14ac:dyDescent="0.25">
      <c r="A1" s="784"/>
      <c r="B1" s="649"/>
      <c r="C1" s="650"/>
      <c r="D1" s="651"/>
      <c r="E1" s="652"/>
      <c r="F1" s="652" t="s">
        <v>357</v>
      </c>
      <c r="G1" s="652" t="s">
        <v>261</v>
      </c>
      <c r="H1" s="652" t="s">
        <v>271</v>
      </c>
      <c r="I1" s="653"/>
      <c r="J1" s="654"/>
      <c r="K1" s="655"/>
    </row>
    <row r="2" spans="1:13" ht="13.75" customHeight="1" x14ac:dyDescent="0.25">
      <c r="A2" s="468" t="s">
        <v>363</v>
      </c>
      <c r="B2" s="946" t="s">
        <v>1006</v>
      </c>
      <c r="C2" s="947"/>
      <c r="D2" s="656" t="s">
        <v>1007</v>
      </c>
      <c r="E2" s="657"/>
      <c r="F2" s="657" t="s">
        <v>132</v>
      </c>
      <c r="G2" s="58" t="s">
        <v>285</v>
      </c>
      <c r="H2" s="657" t="s">
        <v>929</v>
      </c>
      <c r="I2" s="658"/>
      <c r="J2" s="659"/>
      <c r="K2" s="657"/>
    </row>
    <row r="3" spans="1:13" ht="15.5" x14ac:dyDescent="0.25">
      <c r="A3" s="468" t="s">
        <v>260</v>
      </c>
      <c r="B3" s="946"/>
      <c r="C3" s="947"/>
      <c r="D3" s="656" t="s">
        <v>590</v>
      </c>
      <c r="E3" s="657" t="s">
        <v>35</v>
      </c>
      <c r="F3" s="657" t="s">
        <v>133</v>
      </c>
      <c r="G3" s="657" t="s">
        <v>146</v>
      </c>
      <c r="H3" s="657" t="s">
        <v>265</v>
      </c>
      <c r="I3" s="658" t="s">
        <v>349</v>
      </c>
      <c r="J3" s="659"/>
      <c r="K3" s="657"/>
    </row>
    <row r="4" spans="1:13" ht="14" x14ac:dyDescent="0.25">
      <c r="A4" s="785"/>
      <c r="B4" s="946"/>
      <c r="C4" s="947"/>
      <c r="D4" s="660" t="s">
        <v>330</v>
      </c>
      <c r="E4" s="657" t="s">
        <v>331</v>
      </c>
      <c r="F4" s="657" t="s">
        <v>131</v>
      </c>
      <c r="G4" s="657" t="s">
        <v>277</v>
      </c>
      <c r="H4" s="657" t="s">
        <v>268</v>
      </c>
      <c r="I4" s="661" t="s">
        <v>686</v>
      </c>
      <c r="J4" s="659"/>
      <c r="K4" s="657"/>
    </row>
    <row r="5" spans="1:13" ht="14" x14ac:dyDescent="0.25">
      <c r="A5" s="785"/>
      <c r="B5" s="660"/>
      <c r="C5" s="662"/>
      <c r="D5" s="663"/>
      <c r="E5" s="657" t="s">
        <v>330</v>
      </c>
      <c r="F5" s="657" t="s">
        <v>331</v>
      </c>
      <c r="G5" s="657"/>
      <c r="I5" s="664"/>
      <c r="J5" s="665"/>
      <c r="K5" s="657"/>
    </row>
    <row r="6" spans="1:13" ht="14" thickBot="1" x14ac:dyDescent="0.3">
      <c r="A6" s="786" t="s">
        <v>1057</v>
      </c>
      <c r="B6" s="666" t="s">
        <v>157</v>
      </c>
      <c r="C6" s="667" t="s">
        <v>269</v>
      </c>
      <c r="D6" s="666" t="s">
        <v>619</v>
      </c>
      <c r="E6" s="668" t="s">
        <v>620</v>
      </c>
      <c r="F6" s="668" t="s">
        <v>1040</v>
      </c>
      <c r="G6" s="668" t="s">
        <v>1040</v>
      </c>
      <c r="H6" s="668" t="s">
        <v>1040</v>
      </c>
      <c r="I6" s="664" t="s">
        <v>1039</v>
      </c>
      <c r="J6" s="669" t="s">
        <v>269</v>
      </c>
      <c r="K6" s="657"/>
    </row>
    <row r="7" spans="1:13" ht="14" x14ac:dyDescent="0.25">
      <c r="A7" s="787" t="s">
        <v>158</v>
      </c>
      <c r="B7" s="670">
        <f t="shared" ref="B7:B12" si="0">(VLOOKUP(A7,SWTarget,29,FALSE))</f>
        <v>40</v>
      </c>
      <c r="C7" s="671" t="str">
        <f t="shared" ref="C7:C38" si="1">(VLOOKUP(A7,SWTarget,30,FALSE))</f>
        <v>chronic EC50</v>
      </c>
      <c r="D7" s="672">
        <v>10</v>
      </c>
      <c r="E7" s="673">
        <f>IF((VLOOKUP(A7,[1]!TOX,62,FALSE))=0,2.5,IF((VLOOKUP(A7,[1]!TOX,62,FALSE))&lt;1000,2.5,IF((VLOOKUP(A7,[1]!TOX,62,FALSE))&lt;100000,25,100)))</f>
        <v>25</v>
      </c>
      <c r="F7" s="673">
        <f t="shared" ref="F7:F38" si="2">E7*D7*B7</f>
        <v>10000</v>
      </c>
      <c r="G7" s="673">
        <f>IF(F7&lt;&gt;0,MIN(F7,[1]Toxicity!CA3),[1]Toxicity!CA3)</f>
        <v>10000</v>
      </c>
      <c r="H7" s="618">
        <f>MAX(G7,[1]Toxicity!AY3,[1]Toxicity!AN3)</f>
        <v>10000</v>
      </c>
      <c r="I7" s="674">
        <f>ROUND(H7,-INT(LOG10(ABS(H7))))</f>
        <v>10000</v>
      </c>
      <c r="J7" s="675" t="str">
        <f>IF(H7=0,"Not Calculated",IF(H7=F7,C7,IF(H7=[1]Toxicity!CA3,"Ceiling",IF(H7=[1]Toxicity!AY3,"PQL","Bckgrnd"))))</f>
        <v>chronic EC50</v>
      </c>
      <c r="K7" s="657"/>
      <c r="M7" s="676"/>
    </row>
    <row r="8" spans="1:13" ht="14" x14ac:dyDescent="0.25">
      <c r="A8" s="540" t="s">
        <v>159</v>
      </c>
      <c r="B8" s="677">
        <f t="shared" si="0"/>
        <v>0.14000000000000001</v>
      </c>
      <c r="C8" s="678" t="str">
        <f t="shared" si="1"/>
        <v>Median PAH phototox</v>
      </c>
      <c r="D8" s="679">
        <v>10</v>
      </c>
      <c r="E8" s="680">
        <f>IF((VLOOKUP(A8,[1]!TOX,62,FALSE))=0,2.5,IF((VLOOKUP(A8,[1]!TOX,62,FALSE))&lt;1000,2.5,IF((VLOOKUP(A8,[1]!TOX,62,FALSE))&lt;100000,25,100)))</f>
        <v>25</v>
      </c>
      <c r="F8" s="680">
        <f t="shared" si="2"/>
        <v>35</v>
      </c>
      <c r="G8" s="680">
        <f>IF(F8&lt;&gt;0,MIN(F8,[1]Toxicity!CA4),[1]Toxicity!CA4)</f>
        <v>35</v>
      </c>
      <c r="H8" s="620">
        <f>MAX(G8,[1]Toxicity!AY4,[1]Toxicity!AN4)</f>
        <v>35</v>
      </c>
      <c r="I8" s="681">
        <f t="shared" ref="I8:I71" si="3">ROUND(H8,-INT(LOG10(ABS(H8))))</f>
        <v>40</v>
      </c>
      <c r="J8" s="682" t="str">
        <f>IF(H8=0,"Not Calculated",IF(H8=F8,C8,IF(H8=[1]Toxicity!CA4,"Ceiling",IF(H8=[1]Toxicity!AY4,"PQL","Bckgrnd"))))</f>
        <v>Median PAH phototox</v>
      </c>
      <c r="K8" s="657"/>
      <c r="M8" s="676"/>
    </row>
    <row r="9" spans="1:13" ht="14" x14ac:dyDescent="0.25">
      <c r="A9" s="540" t="s">
        <v>160</v>
      </c>
      <c r="B9" s="677">
        <f t="shared" si="0"/>
        <v>3400</v>
      </c>
      <c r="C9" s="678" t="str">
        <f t="shared" si="1"/>
        <v>acute LC50/10</v>
      </c>
      <c r="D9" s="679">
        <v>10</v>
      </c>
      <c r="E9" s="680">
        <f>IF((VLOOKUP(A9,[1]!TOX,62,FALSE))=0,2.5,IF((VLOOKUP(A9,[1]!TOX,62,FALSE))&lt;1000,2.5,IF((VLOOKUP(A9,[1]!TOX,62,FALSE))&lt;100000,25,100)))</f>
        <v>2.5</v>
      </c>
      <c r="F9" s="680">
        <f t="shared" si="2"/>
        <v>85000</v>
      </c>
      <c r="G9" s="680">
        <f>IF(F9&lt;&gt;0,MIN(F9,[1]Toxicity!CA5),[1]Toxicity!CA5)</f>
        <v>50000</v>
      </c>
      <c r="H9" s="620">
        <f>MAX(G9,[1]Toxicity!AY5,[1]Toxicity!AN5)</f>
        <v>50000</v>
      </c>
      <c r="I9" s="681">
        <f t="shared" si="3"/>
        <v>50000</v>
      </c>
      <c r="J9" s="682" t="str">
        <f>IF(H9=0,"Not Calculated",IF(H9=F9,C9,IF(H9=[1]Toxicity!CA5,"Ceiling",IF(H9=[1]Toxicity!AY5,"PQL","Bckgrnd"))))</f>
        <v>Ceiling</v>
      </c>
      <c r="K9" s="657"/>
      <c r="M9" s="676"/>
    </row>
    <row r="10" spans="1:13" ht="14" x14ac:dyDescent="0.25">
      <c r="A10" s="540" t="s">
        <v>161</v>
      </c>
      <c r="B10" s="677">
        <f t="shared" si="0"/>
        <v>0.13</v>
      </c>
      <c r="C10" s="678" t="str">
        <f t="shared" si="1"/>
        <v>CMC(SW)/10</v>
      </c>
      <c r="D10" s="679">
        <v>10</v>
      </c>
      <c r="E10" s="680">
        <f>IF((VLOOKUP(A10,[1]!TOX,62,FALSE))=0,2.5,IF((VLOOKUP(A10,[1]!TOX,62,FALSE))&lt;1000,2.5,IF((VLOOKUP(A10,[1]!TOX,62,FALSE))&lt;100000,25,100)))</f>
        <v>25</v>
      </c>
      <c r="F10" s="680">
        <f t="shared" si="2"/>
        <v>32.5</v>
      </c>
      <c r="G10" s="680">
        <f>IF(F10&lt;&gt;0,MIN(F10,[1]Toxicity!CA6),[1]Toxicity!CA6)</f>
        <v>32.5</v>
      </c>
      <c r="H10" s="620">
        <f>MAX(G10,[1]Toxicity!AY6,[1]Toxicity!AN6)</f>
        <v>32.5</v>
      </c>
      <c r="I10" s="681">
        <f t="shared" si="3"/>
        <v>30</v>
      </c>
      <c r="J10" s="682" t="str">
        <f>IF(H10=0,"Not Calculated",IF(H10=F10,C10,IF(H10=[1]Toxicity!CA6,"Ceiling",IF(H10=[1]Toxicity!AY6,"PQL","Bckgrnd"))))</f>
        <v>CMC(SW)/10</v>
      </c>
      <c r="K10" s="62"/>
      <c r="M10" s="676"/>
    </row>
    <row r="11" spans="1:13" ht="14" x14ac:dyDescent="0.25">
      <c r="A11" s="540" t="s">
        <v>162</v>
      </c>
      <c r="B11" s="677">
        <f t="shared" si="0"/>
        <v>0.13</v>
      </c>
      <c r="C11" s="678" t="str">
        <f t="shared" si="1"/>
        <v>acute LC50/10</v>
      </c>
      <c r="D11" s="679">
        <v>10</v>
      </c>
      <c r="E11" s="680">
        <f>IF((VLOOKUP(A11,[1]!TOX,62,FALSE))=0,2.5,IF((VLOOKUP(A11,[1]!TOX,62,FALSE))&lt;1000,2.5,IF((VLOOKUP(A11,[1]!TOX,62,FALSE))&lt;100000,25,100)))</f>
        <v>25</v>
      </c>
      <c r="F11" s="680">
        <f t="shared" si="2"/>
        <v>32.5</v>
      </c>
      <c r="G11" s="680">
        <f>IF(F11&lt;&gt;0,MIN(F11,[1]Toxicity!CA7),[1]Toxicity!CA7)</f>
        <v>32.5</v>
      </c>
      <c r="H11" s="620">
        <f>MAX(G11,[1]Toxicity!AY7,[1]Toxicity!AN7)</f>
        <v>32.5</v>
      </c>
      <c r="I11" s="681">
        <f t="shared" si="3"/>
        <v>30</v>
      </c>
      <c r="J11" s="682" t="str">
        <f>IF(H11=0,"Not Calculated",IF(H11=F11,C11,IF(H11=[1]Toxicity!CA7,"Ceiling",IF(H11=[1]Toxicity!AY7,"PQL","Bckgrnd"))))</f>
        <v>acute LC50/10</v>
      </c>
      <c r="K11" s="62"/>
      <c r="M11" s="676"/>
    </row>
    <row r="12" spans="1:13" ht="14" x14ac:dyDescent="0.25">
      <c r="A12" s="540" t="s">
        <v>163</v>
      </c>
      <c r="B12" s="677">
        <f t="shared" si="0"/>
        <v>300</v>
      </c>
      <c r="C12" s="678" t="str">
        <f t="shared" si="1"/>
        <v>chronic LC50</v>
      </c>
      <c r="D12" s="679">
        <v>10</v>
      </c>
      <c r="E12" s="680">
        <f>IF((VLOOKUP(A12,[1]!TOX,62,FALSE))=0,2.5,IF((VLOOKUP(A12,[1]!TOX,62,FALSE))&lt;1000,2.5,IF((VLOOKUP(A12,[1]!TOX,62,FALSE))&lt;100000,25,100)))</f>
        <v>2.5</v>
      </c>
      <c r="F12" s="680">
        <f t="shared" si="2"/>
        <v>7500</v>
      </c>
      <c r="G12" s="680">
        <f>IF(F12&lt;&gt;0,MIN(F12,[1]Toxicity!CA8),[1]Toxicity!CA8)</f>
        <v>7500</v>
      </c>
      <c r="H12" s="620">
        <f>MAX(G12,[1]Toxicity!AY8,[1]Toxicity!AN8)</f>
        <v>7500</v>
      </c>
      <c r="I12" s="681">
        <f t="shared" si="3"/>
        <v>8000</v>
      </c>
      <c r="J12" s="682" t="str">
        <f>IF(H12=0,"Not Calculated",IF(H12=F12,C12,IF(H12=[1]Toxicity!CA8,"Ceiling",IF(H12=[1]Toxicity!AY8,"PQL","Bckgrnd"))))</f>
        <v>chronic LC50</v>
      </c>
      <c r="K12" s="62"/>
      <c r="M12" s="676"/>
    </row>
    <row r="13" spans="1:13" ht="14" x14ac:dyDescent="0.25">
      <c r="A13" s="540" t="s">
        <v>164</v>
      </c>
      <c r="B13" s="677">
        <f>'GW-3 SW Target'!AC13</f>
        <v>36</v>
      </c>
      <c r="C13" s="678" t="str">
        <f t="shared" si="1"/>
        <v>CCC(SW)</v>
      </c>
      <c r="D13" s="679">
        <v>10</v>
      </c>
      <c r="E13" s="680">
        <f>IF((VLOOKUP(A13,[1]!TOX,62,FALSE))=0,2.5,IF((VLOOKUP(A13,[1]!TOX,62,FALSE))&lt;1000,2.5,IF((VLOOKUP(A13,[1]!TOX,62,FALSE))&lt;100000,25,100)))</f>
        <v>2.5</v>
      </c>
      <c r="F13" s="680">
        <f t="shared" si="2"/>
        <v>900</v>
      </c>
      <c r="G13" s="680">
        <f>IF(F13&lt;&gt;0,MIN(F13,[1]Toxicity!CA9),[1]Toxicity!CA9)</f>
        <v>900</v>
      </c>
      <c r="H13" s="620">
        <f>MAX(G13,[1]Toxicity!AY9,[1]Toxicity!AN9)</f>
        <v>900</v>
      </c>
      <c r="I13" s="681">
        <f t="shared" si="3"/>
        <v>900</v>
      </c>
      <c r="J13" s="682" t="str">
        <f>IF(H13=0,"Not Calculated",IF(H13=F13,C13,IF(H13=[1]Toxicity!CA9,"Ceiling",IF(H13=[1]Toxicity!AY9,"PQL","Bckgrnd"))))</f>
        <v>CCC(SW)</v>
      </c>
      <c r="K13" s="62"/>
      <c r="M13" s="676"/>
    </row>
    <row r="14" spans="1:13" ht="14" x14ac:dyDescent="0.25">
      <c r="A14" s="540" t="s">
        <v>166</v>
      </c>
      <c r="B14" s="677">
        <f>'GW-3 SW Target'!AC14</f>
        <v>41000</v>
      </c>
      <c r="C14" s="678" t="str">
        <f t="shared" si="1"/>
        <v>acute LC50/10</v>
      </c>
      <c r="D14" s="679">
        <v>10</v>
      </c>
      <c r="E14" s="680">
        <f>IF((VLOOKUP(A14,[1]!TOX,62,FALSE))=0,2.5,IF((VLOOKUP(A14,[1]!TOX,62,FALSE))&lt;1000,2.5,IF((VLOOKUP(A14,[1]!TOX,62,FALSE))&lt;100000,25,100)))</f>
        <v>2.5</v>
      </c>
      <c r="F14" s="680">
        <f t="shared" si="2"/>
        <v>1025000</v>
      </c>
      <c r="G14" s="680">
        <f>IF(F14&lt;&gt;0,MIN(F14,[1]Toxicity!CA10),[1]Toxicity!CA10)</f>
        <v>50000</v>
      </c>
      <c r="H14" s="620">
        <f>MAX(G14,[1]Toxicity!AY10,[1]Toxicity!AN10)</f>
        <v>50000</v>
      </c>
      <c r="I14" s="681">
        <f t="shared" si="3"/>
        <v>50000</v>
      </c>
      <c r="J14" s="682" t="str">
        <f>IF(H14=0,"Not Calculated",IF(H14=F14,C14,IF(H14=[1]Toxicity!CA10,"Ceiling",IF(H14=[1]Toxicity!AY10,"PQL","Bckgrnd"))))</f>
        <v>Ceiling</v>
      </c>
      <c r="K14" s="62"/>
      <c r="M14" s="676"/>
    </row>
    <row r="15" spans="1:13" ht="14" x14ac:dyDescent="0.25">
      <c r="A15" s="540" t="s">
        <v>167</v>
      </c>
      <c r="B15" s="677">
        <f>'GW-3 SW Target'!AC15</f>
        <v>460</v>
      </c>
      <c r="C15" s="678" t="str">
        <f t="shared" si="1"/>
        <v>acute LC50/10</v>
      </c>
      <c r="D15" s="679">
        <v>10</v>
      </c>
      <c r="E15" s="680">
        <f>IF((VLOOKUP(A15,[1]!TOX,62,FALSE))=0,2.5,IF((VLOOKUP(A15,[1]!TOX,62,FALSE))&lt;1000,2.5,IF((VLOOKUP(A15,[1]!TOX,62,FALSE))&lt;100000,25,100)))</f>
        <v>2.5</v>
      </c>
      <c r="F15" s="680">
        <f t="shared" si="2"/>
        <v>11500</v>
      </c>
      <c r="G15" s="680">
        <f>IF(F15&lt;&gt;0,MIN(F15,[1]Toxicity!CA11),[1]Toxicity!CA11)</f>
        <v>11500</v>
      </c>
      <c r="H15" s="620">
        <f>MAX(G15,[1]Toxicity!AY11,[1]Toxicity!AN11)</f>
        <v>11500</v>
      </c>
      <c r="I15" s="681">
        <f t="shared" si="3"/>
        <v>10000</v>
      </c>
      <c r="J15" s="682" t="str">
        <f>IF(H15=0,"Not Calculated",IF(H15=F15,C15,IF(H15=[1]Toxicity!CA11,"Ceiling",IF(H15=[1]Toxicity!AY11,"PQL","Bckgrnd"))))</f>
        <v>acute LC50/10</v>
      </c>
      <c r="K15" s="62"/>
      <c r="M15" s="676"/>
    </row>
    <row r="16" spans="1:13" ht="14" x14ac:dyDescent="0.25">
      <c r="A16" s="540" t="s">
        <v>168</v>
      </c>
      <c r="B16" s="677">
        <f>'GW-3 SW Target'!AC16</f>
        <v>1</v>
      </c>
      <c r="C16" s="678" t="str">
        <f t="shared" si="1"/>
        <v>acute LC50/10</v>
      </c>
      <c r="D16" s="679">
        <v>10</v>
      </c>
      <c r="E16" s="680">
        <f>IF((VLOOKUP(A16,[1]!TOX,62,FALSE))=0,2.5,IF((VLOOKUP(A16,[1]!TOX,62,FALSE))&lt;1000,2.5,IF((VLOOKUP(A16,[1]!TOX,62,FALSE))&lt;100000,25,100)))</f>
        <v>100</v>
      </c>
      <c r="F16" s="680">
        <f t="shared" si="2"/>
        <v>1000</v>
      </c>
      <c r="G16" s="680">
        <f>IF(F16&lt;&gt;0,MIN(F16,[1]Toxicity!CA12),[1]Toxicity!CA12)</f>
        <v>1000</v>
      </c>
      <c r="H16" s="620">
        <f>MAX(G16,[1]Toxicity!AY12,[1]Toxicity!AN12)</f>
        <v>1000</v>
      </c>
      <c r="I16" s="681">
        <f t="shared" si="3"/>
        <v>1000</v>
      </c>
      <c r="J16" s="682" t="str">
        <f>IF(H16=0,"Not Calculated",IF(H16=F16,C16,IF(H16=[1]Toxicity!CA12,"Ceiling",IF(H16=[1]Toxicity!AY12,"PQL","Bckgrnd"))))</f>
        <v>acute LC50/10</v>
      </c>
      <c r="K16" s="62"/>
      <c r="M16" s="676"/>
    </row>
    <row r="17" spans="1:13" ht="14" x14ac:dyDescent="0.25">
      <c r="A17" s="540" t="s">
        <v>169</v>
      </c>
      <c r="B17" s="677">
        <f>'GW-3 SW Target'!AC17</f>
        <v>0.5</v>
      </c>
      <c r="C17" s="678" t="str">
        <f t="shared" si="1"/>
        <v>acute LC50/10</v>
      </c>
      <c r="D17" s="679">
        <v>10</v>
      </c>
      <c r="E17" s="680">
        <f>IF((VLOOKUP(A17,[1]!TOX,62,FALSE))=0,2.5,IF((VLOOKUP(A17,[1]!TOX,62,FALSE))&lt;1000,2.5,IF((VLOOKUP(A17,[1]!TOX,62,FALSE))&lt;100000,25,100)))</f>
        <v>100</v>
      </c>
      <c r="F17" s="680">
        <f t="shared" si="2"/>
        <v>500</v>
      </c>
      <c r="G17" s="680">
        <f>IF(F17&lt;&gt;0,MIN(F17,[1]Toxicity!CA13),[1]Toxicity!CA13)</f>
        <v>500</v>
      </c>
      <c r="H17" s="620">
        <f>MAX(G17,[1]Toxicity!AY13,[1]Toxicity!AN13)</f>
        <v>500</v>
      </c>
      <c r="I17" s="681">
        <f t="shared" si="3"/>
        <v>500</v>
      </c>
      <c r="J17" s="682" t="str">
        <f>IF(H17=0,"Not Calculated",IF(H17=F17,C17,IF(H17=[1]Toxicity!CA13,"Ceiling",IF(H17=[1]Toxicity!AY13,"PQL","Bckgrnd"))))</f>
        <v>acute LC50/10</v>
      </c>
      <c r="K17" s="62"/>
      <c r="M17" s="676"/>
    </row>
    <row r="18" spans="1:13" ht="14" x14ac:dyDescent="0.25">
      <c r="A18" s="540" t="s">
        <v>170</v>
      </c>
      <c r="B18" s="677">
        <f>'GW-3 SW Target'!AC18</f>
        <v>0.42</v>
      </c>
      <c r="C18" s="678" t="str">
        <f t="shared" si="1"/>
        <v>acute EC50/10</v>
      </c>
      <c r="D18" s="679">
        <v>10</v>
      </c>
      <c r="E18" s="680">
        <f>IF((VLOOKUP(A18,[1]!TOX,62,FALSE))=0,2.5,IF((VLOOKUP(A18,[1]!TOX,62,FALSE))&lt;1000,2.5,IF((VLOOKUP(A18,[1]!TOX,62,FALSE))&lt;100000,25,100)))</f>
        <v>100</v>
      </c>
      <c r="F18" s="680">
        <f t="shared" si="2"/>
        <v>420</v>
      </c>
      <c r="G18" s="680">
        <f>IF(F18&lt;&gt;0,MIN(F18,[1]Toxicity!CA14),[1]Toxicity!CA14)</f>
        <v>420</v>
      </c>
      <c r="H18" s="620">
        <f>MAX(G18,[1]Toxicity!AY14,[1]Toxicity!AN14)</f>
        <v>420</v>
      </c>
      <c r="I18" s="681">
        <f t="shared" si="3"/>
        <v>400</v>
      </c>
      <c r="J18" s="682" t="str">
        <f>IF(H18=0,"Not Calculated",IF(H18=F18,C18,IF(H18=[1]Toxicity!CA14,"Ceiling",IF(H18=[1]Toxicity!AY14,"PQL","Bckgrnd"))))</f>
        <v>acute EC50/10</v>
      </c>
      <c r="K18" s="62"/>
      <c r="M18" s="676"/>
    </row>
    <row r="19" spans="1:13" ht="14" x14ac:dyDescent="0.25">
      <c r="A19" s="540" t="s">
        <v>171</v>
      </c>
      <c r="B19" s="677">
        <f>'GW-3 SW Target'!AC19</f>
        <v>0.02</v>
      </c>
      <c r="C19" s="678" t="str">
        <f t="shared" si="1"/>
        <v>acute LC50/10</v>
      </c>
      <c r="D19" s="679">
        <v>10</v>
      </c>
      <c r="E19" s="680">
        <f>IF((VLOOKUP(A19,[1]!TOX,62,FALSE))=0,2.5,IF((VLOOKUP(A19,[1]!TOX,62,FALSE))&lt;1000,2.5,IF((VLOOKUP(A19,[1]!TOX,62,FALSE))&lt;100000,25,100)))</f>
        <v>100</v>
      </c>
      <c r="F19" s="680">
        <f t="shared" si="2"/>
        <v>20</v>
      </c>
      <c r="G19" s="680">
        <f>IF(F19&lt;&gt;0,MIN(F19,[1]Toxicity!CA15),[1]Toxicity!CA15)</f>
        <v>20</v>
      </c>
      <c r="H19" s="620">
        <f>MAX(G19,[1]Toxicity!AY15,[1]Toxicity!AN15)</f>
        <v>20</v>
      </c>
      <c r="I19" s="681">
        <f t="shared" si="3"/>
        <v>20</v>
      </c>
      <c r="J19" s="682" t="str">
        <f>IF(H19=0,"Not Calculated",IF(H19=F19,C19,IF(H19=[1]Toxicity!CA15,"Ceiling",IF(H19=[1]Toxicity!AY15,"PQL","Bckgrnd"))))</f>
        <v>acute LC50/10</v>
      </c>
      <c r="K19" s="62"/>
      <c r="M19" s="676"/>
    </row>
    <row r="20" spans="1:13" ht="14" x14ac:dyDescent="0.25">
      <c r="A20" s="540" t="s">
        <v>172</v>
      </c>
      <c r="B20" s="677">
        <f>'GW-3 SW Target'!AC20</f>
        <v>0.14000000000000001</v>
      </c>
      <c r="C20" s="678" t="str">
        <f t="shared" si="1"/>
        <v>acute LC50/10</v>
      </c>
      <c r="D20" s="679">
        <v>10</v>
      </c>
      <c r="E20" s="680">
        <f>IF((VLOOKUP(A20,[1]!TOX,62,FALSE))=0,2.5,IF((VLOOKUP(A20,[1]!TOX,62,FALSE))&lt;1000,2.5,IF((VLOOKUP(A20,[1]!TOX,62,FALSE))&lt;100000,25,100)))</f>
        <v>100</v>
      </c>
      <c r="F20" s="680">
        <f t="shared" si="2"/>
        <v>140</v>
      </c>
      <c r="G20" s="680">
        <f>IF(F20&lt;&gt;0,MIN(F20,[1]Toxicity!CA16),[1]Toxicity!CA16)</f>
        <v>140</v>
      </c>
      <c r="H20" s="620">
        <f>MAX(G20,[1]Toxicity!AY16,[1]Toxicity!AN16)</f>
        <v>140</v>
      </c>
      <c r="I20" s="681">
        <f t="shared" si="3"/>
        <v>100</v>
      </c>
      <c r="J20" s="682" t="str">
        <f>IF(H20=0,"Not Calculated",IF(H20=F20,C20,IF(H20=[1]Toxicity!CA16,"Ceiling",IF(H20=[1]Toxicity!AY16,"PQL","Bckgrnd"))))</f>
        <v>acute LC50/10</v>
      </c>
      <c r="K20" s="62"/>
      <c r="M20" s="676"/>
    </row>
    <row r="21" spans="1:13" ht="14" x14ac:dyDescent="0.25">
      <c r="A21" s="540" t="s">
        <v>173</v>
      </c>
      <c r="B21" s="677">
        <f>'GW-3 SW Target'!AC21</f>
        <v>7.3</v>
      </c>
      <c r="C21" s="678" t="str">
        <f t="shared" si="1"/>
        <v>chronic LOEC</v>
      </c>
      <c r="D21" s="679">
        <v>10</v>
      </c>
      <c r="E21" s="680">
        <f>IF((VLOOKUP(A21,[1]!TOX,62,FALSE))=0,2.5,IF((VLOOKUP(A21,[1]!TOX,62,FALSE))&lt;1000,2.5,IF((VLOOKUP(A21,[1]!TOX,62,FALSE))&lt;100000,25,100)))</f>
        <v>2.5</v>
      </c>
      <c r="F21" s="680">
        <f t="shared" si="2"/>
        <v>182.5</v>
      </c>
      <c r="G21" s="680">
        <f>IF(F21&lt;&gt;0,MIN(F21,[1]Toxicity!CA17),[1]Toxicity!CA17)</f>
        <v>182.5</v>
      </c>
      <c r="H21" s="620">
        <f>MAX(G21,[1]Toxicity!AY17,[1]Toxicity!AN17)</f>
        <v>182.5</v>
      </c>
      <c r="I21" s="681">
        <f t="shared" si="3"/>
        <v>200</v>
      </c>
      <c r="J21" s="682" t="str">
        <f>IF(H21=0,"Not Calculated",IF(H21=F21,C21,IF(H21=[1]Toxicity!CA17,"Ceiling",IF(H21=[1]Toxicity!AY17,"PQL","Bckgrnd"))))</f>
        <v>chronic LOEC</v>
      </c>
      <c r="K21" s="62"/>
      <c r="M21" s="676"/>
    </row>
    <row r="22" spans="1:13" ht="14" x14ac:dyDescent="0.25">
      <c r="A22" s="540" t="s">
        <v>174</v>
      </c>
      <c r="B22" s="677">
        <f>'GW-3 SW Target'!AC22</f>
        <v>320</v>
      </c>
      <c r="C22" s="678" t="str">
        <f t="shared" si="1"/>
        <v>chronic LOEC</v>
      </c>
      <c r="D22" s="679">
        <v>10</v>
      </c>
      <c r="E22" s="680">
        <f>IF((VLOOKUP(A22,[1]!TOX,62,FALSE))=0,2.5,IF((VLOOKUP(A22,[1]!TOX,62,FALSE))&lt;1000,2.5,IF((VLOOKUP(A22,[1]!TOX,62,FALSE))&lt;100000,25,100)))</f>
        <v>25</v>
      </c>
      <c r="F22" s="680">
        <f t="shared" si="2"/>
        <v>80000</v>
      </c>
      <c r="G22" s="680">
        <f>IF(F22&lt;&gt;0,MIN(F22,[1]Toxicity!CA18),[1]Toxicity!CA18)</f>
        <v>50000</v>
      </c>
      <c r="H22" s="620">
        <f>MAX(G22,[1]Toxicity!AY18,[1]Toxicity!AN18)</f>
        <v>50000</v>
      </c>
      <c r="I22" s="681">
        <f t="shared" si="3"/>
        <v>50000</v>
      </c>
      <c r="J22" s="682" t="str">
        <f>IF(H22=0,"Not Calculated",IF(H22=F22,C22,IF(H22=[1]Toxicity!CA18,"Ceiling",IF(H22=[1]Toxicity!AY18,"PQL","Bckgrnd"))))</f>
        <v>Ceiling</v>
      </c>
      <c r="K22" s="62"/>
      <c r="M22" s="676"/>
    </row>
    <row r="23" spans="1:13" ht="14" x14ac:dyDescent="0.25">
      <c r="A23" s="540" t="s">
        <v>175</v>
      </c>
      <c r="B23" s="677">
        <f>'GW-3 SW Target'!AC23</f>
        <v>24000</v>
      </c>
      <c r="C23" s="678" t="str">
        <f t="shared" si="1"/>
        <v>acute LC50/10</v>
      </c>
      <c r="D23" s="679">
        <v>10</v>
      </c>
      <c r="E23" s="680">
        <f>IF((VLOOKUP(A23,[1]!TOX,62,FALSE))=0,2.5,IF((VLOOKUP(A23,[1]!TOX,62,FALSE))&lt;1000,2.5,IF((VLOOKUP(A23,[1]!TOX,62,FALSE))&lt;100000,25,100)))</f>
        <v>2.5</v>
      </c>
      <c r="F23" s="680">
        <f t="shared" si="2"/>
        <v>600000</v>
      </c>
      <c r="G23" s="680">
        <f>IF(F23&lt;&gt;0,MIN(F23,[1]Toxicity!CA19),[1]Toxicity!CA19)</f>
        <v>50000</v>
      </c>
      <c r="H23" s="620">
        <f>MAX(G23,[1]Toxicity!AY19,[1]Toxicity!AN19)</f>
        <v>50000</v>
      </c>
      <c r="I23" s="681">
        <f t="shared" si="3"/>
        <v>50000</v>
      </c>
      <c r="J23" s="682" t="str">
        <f>IF(H23=0,"Not Calculated",IF(H23=F23,C23,IF(H23=[1]Toxicity!CA19,"Ceiling",IF(H23=[1]Toxicity!AY19,"PQL","Bckgrnd"))))</f>
        <v>Ceiling</v>
      </c>
      <c r="K23" s="62"/>
      <c r="M23" s="676"/>
    </row>
    <row r="24" spans="1:13" ht="14" x14ac:dyDescent="0.25">
      <c r="A24" s="540" t="s">
        <v>176</v>
      </c>
      <c r="B24" s="677">
        <f>'GW-3 SW Target'!AC24</f>
        <v>24000</v>
      </c>
      <c r="C24" s="678" t="str">
        <f t="shared" si="1"/>
        <v>acute LC50/10</v>
      </c>
      <c r="D24" s="679">
        <v>10</v>
      </c>
      <c r="E24" s="680">
        <f>IF((VLOOKUP(A24,[1]!TOX,62,FALSE))=0,2.5,IF((VLOOKUP(A24,[1]!TOX,62,FALSE))&lt;1000,2.5,IF((VLOOKUP(A24,[1]!TOX,62,FALSE))&lt;100000,25,100)))</f>
        <v>2.5</v>
      </c>
      <c r="F24" s="680">
        <f t="shared" si="2"/>
        <v>600000</v>
      </c>
      <c r="G24" s="680">
        <f>IF(F24&lt;&gt;0,MIN(F24,[1]Toxicity!CA20),[1]Toxicity!CA20)</f>
        <v>50000</v>
      </c>
      <c r="H24" s="620">
        <f>MAX(G24,[1]Toxicity!AY20,[1]Toxicity!AN20)</f>
        <v>50000</v>
      </c>
      <c r="I24" s="681">
        <f t="shared" si="3"/>
        <v>50000</v>
      </c>
      <c r="J24" s="682" t="str">
        <f>IF(H24=0,"Not Calculated",IF(H24=F24,C24,IF(H24=[1]Toxicity!CA20,"Ceiling",IF(H24=[1]Toxicity!AY20,"PQL","Bckgrnd"))))</f>
        <v>Ceiling</v>
      </c>
      <c r="K24" s="62"/>
      <c r="M24" s="676"/>
    </row>
    <row r="25" spans="1:13" ht="14" x14ac:dyDescent="0.25">
      <c r="A25" s="540" t="s">
        <v>177</v>
      </c>
      <c r="B25" s="677">
        <f>'GW-3 SW Target'!AC25</f>
        <v>160</v>
      </c>
      <c r="C25" s="678" t="str">
        <f t="shared" si="1"/>
        <v>chronic LOEC</v>
      </c>
      <c r="D25" s="679">
        <v>10</v>
      </c>
      <c r="E25" s="680">
        <f>IF((VLOOKUP(A25,[1]!TOX,62,FALSE))=0,2.5,IF((VLOOKUP(A25,[1]!TOX,62,FALSE))&lt;1000,2.5,IF((VLOOKUP(A25,[1]!TOX,62,FALSE))&lt;100000,25,100)))</f>
        <v>100</v>
      </c>
      <c r="F25" s="680">
        <f t="shared" si="2"/>
        <v>160000</v>
      </c>
      <c r="G25" s="680">
        <f>IF(F25&lt;&gt;0,MIN(F25,[1]Toxicity!CA21),[1]Toxicity!CA21)</f>
        <v>50000</v>
      </c>
      <c r="H25" s="620">
        <f>MAX(G25,[1]Toxicity!AY21,[1]Toxicity!AN21)</f>
        <v>50000</v>
      </c>
      <c r="I25" s="681">
        <f t="shared" si="3"/>
        <v>50000</v>
      </c>
      <c r="J25" s="682" t="str">
        <f>IF(H25=0,"Not Calculated",IF(H25=F25,C25,IF(H25=[1]Toxicity!CA21,"Ceiling",IF(H25=[1]Toxicity!AY21,"PQL","Bckgrnd"))))</f>
        <v>Ceiling</v>
      </c>
      <c r="K25" s="62"/>
      <c r="M25" s="676"/>
    </row>
    <row r="26" spans="1:13" ht="14" x14ac:dyDescent="0.25">
      <c r="A26" s="540" t="s">
        <v>178</v>
      </c>
      <c r="B26" s="677">
        <f>'GW-3 SW Target'!AC26</f>
        <v>20000</v>
      </c>
      <c r="C26" s="678" t="str">
        <f t="shared" si="1"/>
        <v>acute LOEC/10</v>
      </c>
      <c r="D26" s="679">
        <v>10</v>
      </c>
      <c r="E26" s="680">
        <f>IF((VLOOKUP(A26,[1]!TOX,62,FALSE))=0,2.5,IF((VLOOKUP(A26,[1]!TOX,62,FALSE))&lt;1000,2.5,IF((VLOOKUP(A26,[1]!TOX,62,FALSE))&lt;100000,25,100)))</f>
        <v>2.5</v>
      </c>
      <c r="F26" s="680">
        <f t="shared" si="2"/>
        <v>500000</v>
      </c>
      <c r="G26" s="680">
        <f>IF(F26&lt;&gt;0,MIN(F26,[1]Toxicity!CA22),[1]Toxicity!CA22)</f>
        <v>50000</v>
      </c>
      <c r="H26" s="620">
        <f>MAX(G26,[1]Toxicity!AY22,[1]Toxicity!AN22)</f>
        <v>50000</v>
      </c>
      <c r="I26" s="681">
        <f t="shared" si="3"/>
        <v>50000</v>
      </c>
      <c r="J26" s="682" t="str">
        <f>IF(H26=0,"Not Calculated",IF(H26=F26,C26,IF(H26=[1]Toxicity!CA22,"Ceiling",IF(H26=[1]Toxicity!AY22,"PQL","Bckgrnd"))))</f>
        <v>Ceiling</v>
      </c>
      <c r="K26" s="62"/>
      <c r="M26" s="676"/>
    </row>
    <row r="27" spans="1:13" ht="14" x14ac:dyDescent="0.25">
      <c r="A27" s="540" t="s">
        <v>179</v>
      </c>
      <c r="B27" s="677">
        <f>'GW-3 SW Target'!AC27</f>
        <v>2900</v>
      </c>
      <c r="C27" s="678" t="str">
        <f t="shared" si="1"/>
        <v>acute LC50/10</v>
      </c>
      <c r="D27" s="679">
        <v>10</v>
      </c>
      <c r="E27" s="680">
        <f>IF((VLOOKUP(A27,[1]!TOX,62,FALSE))=0,2.5,IF((VLOOKUP(A27,[1]!TOX,62,FALSE))&lt;1000,2.5,IF((VLOOKUP(A27,[1]!TOX,62,FALSE))&lt;100000,25,100)))</f>
        <v>2.5</v>
      </c>
      <c r="F27" s="680">
        <f t="shared" si="2"/>
        <v>72500</v>
      </c>
      <c r="G27" s="680">
        <f>IF(F27&lt;&gt;0,MIN(F27,[1]Toxicity!CA23),[1]Toxicity!CA23)</f>
        <v>50000</v>
      </c>
      <c r="H27" s="620">
        <f>MAX(G27,[1]Toxicity!AY23,[1]Toxicity!AN23)</f>
        <v>50000</v>
      </c>
      <c r="I27" s="681">
        <f t="shared" si="3"/>
        <v>50000</v>
      </c>
      <c r="J27" s="682" t="str">
        <f>IF(H27=0,"Not Calculated",IF(H27=F27,C27,IF(H27=[1]Toxicity!CA23,"Ceiling",IF(H27=[1]Toxicity!AY23,"PQL","Bckgrnd"))))</f>
        <v>Ceiling</v>
      </c>
      <c r="K27" s="62"/>
      <c r="M27" s="676"/>
    </row>
    <row r="28" spans="1:13" ht="14" x14ac:dyDescent="0.25">
      <c r="A28" s="540" t="s">
        <v>180</v>
      </c>
      <c r="B28" s="677">
        <f>'GW-3 SW Target'!AC28</f>
        <v>30</v>
      </c>
      <c r="C28" s="678" t="str">
        <f t="shared" si="1"/>
        <v>acute LC50/10</v>
      </c>
      <c r="D28" s="679">
        <v>10</v>
      </c>
      <c r="E28" s="680">
        <f>IF((VLOOKUP(A28,[1]!TOX,62,FALSE))=0,2.5,IF((VLOOKUP(A28,[1]!TOX,62,FALSE))&lt;1000,2.5,IF((VLOOKUP(A28,[1]!TOX,62,FALSE))&lt;100000,25,100)))</f>
        <v>2.5</v>
      </c>
      <c r="F28" s="680">
        <f t="shared" si="2"/>
        <v>750</v>
      </c>
      <c r="G28" s="680">
        <f>IF(F28&lt;&gt;0,MIN(F28,[1]Toxicity!CA24),[1]Toxicity!CA24)</f>
        <v>750</v>
      </c>
      <c r="H28" s="620">
        <f>MAX(G28,[1]Toxicity!AY24,[1]Toxicity!AN24)</f>
        <v>750</v>
      </c>
      <c r="I28" s="681">
        <f t="shared" si="3"/>
        <v>800</v>
      </c>
      <c r="J28" s="682" t="str">
        <f>IF(H28=0,"Not Calculated",IF(H28=F28,C28,IF(H28=[1]Toxicity!CA24,"Ceiling",IF(H28=[1]Toxicity!AY24,"PQL","Bckgrnd"))))</f>
        <v>acute LC50/10</v>
      </c>
      <c r="K28" s="62"/>
      <c r="M28" s="676"/>
    </row>
    <row r="29" spans="1:13" ht="14" x14ac:dyDescent="0.25">
      <c r="A29" s="540" t="s">
        <v>181</v>
      </c>
      <c r="B29" s="677">
        <f>'GW-3 SW Target'!AC29</f>
        <v>0.3</v>
      </c>
      <c r="C29" s="678" t="str">
        <f t="shared" si="1"/>
        <v>CCC(FW)</v>
      </c>
      <c r="D29" s="679">
        <v>10</v>
      </c>
      <c r="E29" s="680">
        <f>IF((VLOOKUP(A29,[1]!TOX,62,FALSE))=0,2.5,IF((VLOOKUP(A29,[1]!TOX,62,FALSE))&lt;1000,2.5,IF((VLOOKUP(A29,[1]!TOX,62,FALSE))&lt;100000,25,100)))</f>
        <v>2.5</v>
      </c>
      <c r="F29" s="680">
        <f t="shared" si="2"/>
        <v>7.5</v>
      </c>
      <c r="G29" s="680">
        <f>IF(F29&lt;&gt;0,MIN(F29,[1]Toxicity!CA25),[1]Toxicity!CA25)</f>
        <v>7.5</v>
      </c>
      <c r="H29" s="620">
        <f>MAX(G29,[1]Toxicity!AY25,[1]Toxicity!AN25)</f>
        <v>7.5</v>
      </c>
      <c r="I29" s="681">
        <f t="shared" si="3"/>
        <v>8</v>
      </c>
      <c r="J29" s="682" t="str">
        <f>IF(H29=0,"Not Calculated",IF(H29=F29,C29,IF(H29=[1]Toxicity!CA25,"Ceiling",IF(H29=[1]Toxicity!AY25,"PQL","Bckgrnd"))))</f>
        <v>CCC(FW)</v>
      </c>
      <c r="K29" s="62"/>
      <c r="M29" s="676"/>
    </row>
    <row r="30" spans="1:13" ht="14" x14ac:dyDescent="0.25">
      <c r="A30" s="540" t="s">
        <v>182</v>
      </c>
      <c r="B30" s="677">
        <f>'GW-3 SW Target'!AC30</f>
        <v>200</v>
      </c>
      <c r="C30" s="678" t="str">
        <f t="shared" si="1"/>
        <v>acute LC50/10</v>
      </c>
      <c r="D30" s="679">
        <v>10</v>
      </c>
      <c r="E30" s="680">
        <f>IF((VLOOKUP(A30,[1]!TOX,62,FALSE))=0,2.5,IF((VLOOKUP(A30,[1]!TOX,62,FALSE))&lt;1000,2.5,IF((VLOOKUP(A30,[1]!TOX,62,FALSE))&lt;100000,25,100)))</f>
        <v>2.5</v>
      </c>
      <c r="F30" s="680">
        <f t="shared" si="2"/>
        <v>5000</v>
      </c>
      <c r="G30" s="680">
        <f>IF(F30&lt;&gt;0,MIN(F30,[1]Toxicity!CA26),[1]Toxicity!CA26)</f>
        <v>5000</v>
      </c>
      <c r="H30" s="620">
        <f>MAX(G30,[1]Toxicity!AY26,[1]Toxicity!AN26)</f>
        <v>5000</v>
      </c>
      <c r="I30" s="681">
        <f t="shared" si="3"/>
        <v>5000</v>
      </c>
      <c r="J30" s="682" t="str">
        <f>IF(H30=0,"Not Calculated",IF(H30=F30,C30,IF(H30=[1]Toxicity!CA26,"Ceiling",IF(H30=[1]Toxicity!AY26,"PQL","Bckgrnd"))))</f>
        <v>acute LC50/10</v>
      </c>
      <c r="K30" s="62"/>
      <c r="M30" s="676"/>
    </row>
    <row r="31" spans="1:13" ht="14" x14ac:dyDescent="0.25">
      <c r="A31" s="540" t="s">
        <v>183</v>
      </c>
      <c r="B31" s="677">
        <f>'GW-3 SW Target'!AC31</f>
        <v>4.0000000000000001E-3</v>
      </c>
      <c r="C31" s="678" t="str">
        <f t="shared" si="1"/>
        <v>CCC(SW)</v>
      </c>
      <c r="D31" s="679">
        <v>10</v>
      </c>
      <c r="E31" s="680">
        <f>IF((VLOOKUP(A31,[1]!TOX,62,FALSE))=0,2.5,IF((VLOOKUP(A31,[1]!TOX,62,FALSE))&lt;1000,2.5,IF((VLOOKUP(A31,[1]!TOX,62,FALSE))&lt;100000,25,100)))</f>
        <v>25</v>
      </c>
      <c r="F31" s="680">
        <f t="shared" si="2"/>
        <v>1</v>
      </c>
      <c r="G31" s="680">
        <f>IF(F31&lt;&gt;0,MIN(F31,[1]Toxicity!CA27),[1]Toxicity!CA27)</f>
        <v>1</v>
      </c>
      <c r="H31" s="620">
        <f>MAX(G31,[1]Toxicity!AY27,[1]Toxicity!AN27)</f>
        <v>1.5</v>
      </c>
      <c r="I31" s="681">
        <f t="shared" si="3"/>
        <v>2</v>
      </c>
      <c r="J31" s="682" t="str">
        <f>IF(H31=0,"Not Calculated",IF(H31=F31,C31,IF(H31=[1]Toxicity!CA27,"Ceiling",IF(H31=[1]Toxicity!AY27,"PQL","Bckgrnd"))))</f>
        <v>PQL</v>
      </c>
      <c r="K31" s="62"/>
      <c r="M31" s="676"/>
    </row>
    <row r="32" spans="1:13" ht="14" x14ac:dyDescent="0.25">
      <c r="A32" s="540" t="s">
        <v>184</v>
      </c>
      <c r="B32" s="677">
        <f>'GW-3 SW Target'!AC32</f>
        <v>10</v>
      </c>
      <c r="C32" s="678" t="str">
        <f t="shared" si="1"/>
        <v>acute EC50/10</v>
      </c>
      <c r="D32" s="679">
        <v>10</v>
      </c>
      <c r="E32" s="680">
        <f>IF((VLOOKUP(A32,[1]!TOX,62,FALSE))=0,2.5,IF((VLOOKUP(A32,[1]!TOX,62,FALSE))&lt;1000,2.5,IF((VLOOKUP(A32,[1]!TOX,62,FALSE))&lt;100000,25,100)))</f>
        <v>2.5</v>
      </c>
      <c r="F32" s="680">
        <f t="shared" si="2"/>
        <v>250</v>
      </c>
      <c r="G32" s="680">
        <f>IF(F32&lt;&gt;0,MIN(F32,[1]Toxicity!CA28),[1]Toxicity!CA28)</f>
        <v>250</v>
      </c>
      <c r="H32" s="620">
        <f>MAX(G32,[1]Toxicity!AY28,[1]Toxicity!AN28)</f>
        <v>250</v>
      </c>
      <c r="I32" s="681">
        <f t="shared" si="3"/>
        <v>300</v>
      </c>
      <c r="J32" s="682" t="str">
        <f>IF(H32=0,"Not Calculated",IF(H32=F32,C32,IF(H32=[1]Toxicity!CA28,"Ceiling",IF(H32=[1]Toxicity!AY28,"PQL","Bckgrnd"))))</f>
        <v>acute EC50/10</v>
      </c>
      <c r="K32" s="62"/>
      <c r="M32" s="676"/>
    </row>
    <row r="33" spans="1:13" ht="14" x14ac:dyDescent="0.25">
      <c r="A33" s="540" t="s">
        <v>185</v>
      </c>
      <c r="B33" s="677">
        <f>'GW-3 SW Target'!AC33</f>
        <v>38</v>
      </c>
      <c r="C33" s="678" t="str">
        <f t="shared" si="1"/>
        <v>chronic LOEC</v>
      </c>
      <c r="D33" s="679">
        <v>10</v>
      </c>
      <c r="E33" s="680">
        <f>IF((VLOOKUP(A33,[1]!TOX,62,FALSE))=0,2.5,IF((VLOOKUP(A33,[1]!TOX,62,FALSE))&lt;1000,2.5,IF((VLOOKUP(A33,[1]!TOX,62,FALSE))&lt;100000,25,100)))</f>
        <v>2.5</v>
      </c>
      <c r="F33" s="680">
        <f t="shared" si="2"/>
        <v>950</v>
      </c>
      <c r="G33" s="680">
        <f>IF(F33&lt;&gt;0,MIN(F33,[1]Toxicity!CA29),[1]Toxicity!CA29)</f>
        <v>950</v>
      </c>
      <c r="H33" s="620">
        <f>MAX(G33,[1]Toxicity!AY29,[1]Toxicity!AN29)</f>
        <v>950</v>
      </c>
      <c r="I33" s="681">
        <f t="shared" si="3"/>
        <v>1000</v>
      </c>
      <c r="J33" s="682" t="str">
        <f>IF(H33=0,"Not Calculated",IF(H33=F33,C33,IF(H33=[1]Toxicity!CA29,"Ceiling",IF(H33=[1]Toxicity!AY29,"PQL","Bckgrnd"))))</f>
        <v>chronic LOEC</v>
      </c>
      <c r="K33" s="62"/>
      <c r="M33" s="676"/>
    </row>
    <row r="34" spans="1:13" ht="14" x14ac:dyDescent="0.25">
      <c r="A34" s="540" t="s">
        <v>186</v>
      </c>
      <c r="B34" s="677">
        <f>'GW-3 SW Target'!AC34</f>
        <v>970</v>
      </c>
      <c r="C34" s="678" t="str">
        <f t="shared" si="1"/>
        <v>chronic LOEC</v>
      </c>
      <c r="D34" s="679">
        <v>10</v>
      </c>
      <c r="E34" s="680">
        <f>IF((VLOOKUP(A34,[1]!TOX,62,FALSE))=0,2.5,IF((VLOOKUP(A34,[1]!TOX,62,FALSE))&lt;1000,2.5,IF((VLOOKUP(A34,[1]!TOX,62,FALSE))&lt;100000,25,100)))</f>
        <v>2.5</v>
      </c>
      <c r="F34" s="680">
        <f t="shared" si="2"/>
        <v>24250</v>
      </c>
      <c r="G34" s="680">
        <f>IF(F34&lt;&gt;0,MIN(F34,[1]Toxicity!CA30),[1]Toxicity!CA30)</f>
        <v>24250</v>
      </c>
      <c r="H34" s="620">
        <f>MAX(G34,[1]Toxicity!AY30,[1]Toxicity!AN30)</f>
        <v>24250</v>
      </c>
      <c r="I34" s="681">
        <f t="shared" si="3"/>
        <v>20000</v>
      </c>
      <c r="J34" s="682" t="str">
        <f>IF(H34=0,"Not Calculated",IF(H34=F34,C34,IF(H34=[1]Toxicity!CA30,"Ceiling",IF(H34=[1]Toxicity!AY30,"PQL","Bckgrnd"))))</f>
        <v>chronic LOEC</v>
      </c>
      <c r="K34" s="62"/>
      <c r="M34" s="676"/>
    </row>
    <row r="35" spans="1:13" ht="14" x14ac:dyDescent="0.25">
      <c r="A35" s="540" t="s">
        <v>187</v>
      </c>
      <c r="B35" s="677">
        <f>'GW-3 SW Target'!AC35</f>
        <v>260</v>
      </c>
      <c r="C35" s="678" t="str">
        <f t="shared" si="1"/>
        <v>acute LC50/10</v>
      </c>
      <c r="D35" s="679">
        <v>10</v>
      </c>
      <c r="E35" s="680">
        <f>IF((VLOOKUP(A35,[1]!TOX,62,FALSE))=0,2.5,IF((VLOOKUP(A35,[1]!TOX,62,FALSE))&lt;1000,2.5,IF((VLOOKUP(A35,[1]!TOX,62,FALSE))&lt;100000,25,100)))</f>
        <v>2.5</v>
      </c>
      <c r="F35" s="680">
        <f t="shared" si="2"/>
        <v>6500</v>
      </c>
      <c r="G35" s="680">
        <f>IF(F35&lt;&gt;0,MIN(F35,[1]Toxicity!CA31),[1]Toxicity!CA31)</f>
        <v>6500</v>
      </c>
      <c r="H35" s="620">
        <f>MAX(G35,[1]Toxicity!AY31,[1]Toxicity!AN31)</f>
        <v>6500</v>
      </c>
      <c r="I35" s="681">
        <f t="shared" si="3"/>
        <v>7000</v>
      </c>
      <c r="J35" s="682" t="str">
        <f>IF(H35=0,"Not Calculated",IF(H35=F35,C35,IF(H35=[1]Toxicity!CA31,"Ceiling",IF(H35=[1]Toxicity!AY31,"PQL","Bckgrnd"))))</f>
        <v>acute LC50/10</v>
      </c>
      <c r="K35" s="62"/>
      <c r="M35" s="676"/>
    </row>
    <row r="36" spans="1:13" ht="14" x14ac:dyDescent="0.25">
      <c r="A36" s="540" t="s">
        <v>188</v>
      </c>
      <c r="B36" s="677">
        <f>'GW-3 SW Target'!AC36</f>
        <v>11</v>
      </c>
      <c r="C36" s="678" t="str">
        <f t="shared" si="1"/>
        <v>CCC (FW) for Cr VI</v>
      </c>
      <c r="D36" s="679"/>
      <c r="E36" s="680">
        <f>IF((VLOOKUP(A36,[1]!TOX,62,FALSE))=0,2.5,IF((VLOOKUP(A36,[1]!TOX,62,FALSE))&lt;1000,2.5,IF((VLOOKUP(A36,[1]!TOX,62,FALSE))&lt;100000,25,100)))</f>
        <v>2.5</v>
      </c>
      <c r="F36" s="680">
        <f t="shared" si="2"/>
        <v>0</v>
      </c>
      <c r="G36" s="680"/>
      <c r="H36" s="620">
        <f>MIN(H37,H38)</f>
        <v>275</v>
      </c>
      <c r="I36" s="681">
        <f>MIN(I37,I38)</f>
        <v>300</v>
      </c>
      <c r="J36" s="682" t="s">
        <v>660</v>
      </c>
      <c r="K36" s="62"/>
      <c r="M36" s="676"/>
    </row>
    <row r="37" spans="1:13" ht="14" x14ac:dyDescent="0.25">
      <c r="A37" s="540" t="s">
        <v>189</v>
      </c>
      <c r="B37" s="677">
        <f>'GW-3 SW Target'!AC37</f>
        <v>24</v>
      </c>
      <c r="C37" s="678" t="str">
        <f t="shared" si="1"/>
        <v>CCC(FW)</v>
      </c>
      <c r="D37" s="679">
        <v>10</v>
      </c>
      <c r="E37" s="680">
        <f>IF((VLOOKUP(A37,[1]!TOX,62,FALSE))=0,2.5,IF((VLOOKUP(A37,[1]!TOX,62,FALSE))&lt;1000,2.5,IF((VLOOKUP(A37,[1]!TOX,62,FALSE))&lt;100000,25,100)))</f>
        <v>2.5</v>
      </c>
      <c r="F37" s="680">
        <f t="shared" si="2"/>
        <v>600</v>
      </c>
      <c r="G37" s="680">
        <f>IF(F37&lt;&gt;0,MIN(F37,[1]Toxicity!CA33),[1]Toxicity!CA33)</f>
        <v>600</v>
      </c>
      <c r="H37" s="620">
        <f>MAX(G37,[1]Toxicity!AY33,[1]Toxicity!AN33)</f>
        <v>600</v>
      </c>
      <c r="I37" s="681">
        <f t="shared" si="3"/>
        <v>600</v>
      </c>
      <c r="J37" s="682" t="str">
        <f>IF(H37=0,"Not Calculated",IF(H37=F37,C37,IF(H37=[1]Toxicity!CA33,"Ceiling",IF(H37=[1]Toxicity!AY33,"PQL","Bckgrnd"))))</f>
        <v>CCC(FW)</v>
      </c>
      <c r="K37" s="62"/>
      <c r="M37" s="676"/>
    </row>
    <row r="38" spans="1:13" ht="14" x14ac:dyDescent="0.25">
      <c r="A38" s="540" t="s">
        <v>190</v>
      </c>
      <c r="B38" s="677">
        <f>'GW-3 SW Target'!AC38</f>
        <v>11</v>
      </c>
      <c r="C38" s="678" t="str">
        <f t="shared" si="1"/>
        <v>CCC(FW)</v>
      </c>
      <c r="D38" s="679">
        <v>10</v>
      </c>
      <c r="E38" s="680">
        <f>IF((VLOOKUP(A38,[1]!TOX,62,FALSE))=0,2.5,IF((VLOOKUP(A38,[1]!TOX,62,FALSE))&lt;1000,2.5,IF((VLOOKUP(A38,[1]!TOX,62,FALSE))&lt;100000,25,100)))</f>
        <v>2.5</v>
      </c>
      <c r="F38" s="680">
        <f t="shared" si="2"/>
        <v>275</v>
      </c>
      <c r="G38" s="680">
        <f>IF(F38&lt;&gt;0,MIN(F38,[1]Toxicity!CA34),[1]Toxicity!CA34)</f>
        <v>275</v>
      </c>
      <c r="H38" s="620">
        <f>MAX(G38,[1]Toxicity!AY34,[1]Toxicity!AN34)</f>
        <v>275</v>
      </c>
      <c r="I38" s="681">
        <f t="shared" si="3"/>
        <v>300</v>
      </c>
      <c r="J38" s="682" t="str">
        <f>IF(H38=0,"Not Calculated",IF(H38=F38,C38,IF(H38=[1]Toxicity!CA34,"Ceiling",IF(H38=[1]Toxicity!AY34,"PQL","Bckgrnd"))))</f>
        <v>CCC(FW)</v>
      </c>
      <c r="K38" s="62"/>
      <c r="M38" s="676"/>
    </row>
    <row r="39" spans="1:13" ht="14" x14ac:dyDescent="0.25">
      <c r="A39" s="540" t="s">
        <v>191</v>
      </c>
      <c r="B39" s="677">
        <f>'GW-3 SW Target'!AC39</f>
        <v>7.0000000000000007E-2</v>
      </c>
      <c r="C39" s="678" t="str">
        <f t="shared" ref="C39:C70" si="4">(VLOOKUP(A39,SWTarget,30,FALSE))</f>
        <v>acute LC50/10</v>
      </c>
      <c r="D39" s="679">
        <v>10</v>
      </c>
      <c r="E39" s="680">
        <f>IF((VLOOKUP(A39,[1]!TOX,62,FALSE))=0,2.5,IF((VLOOKUP(A39,[1]!TOX,62,FALSE))&lt;1000,2.5,IF((VLOOKUP(A39,[1]!TOX,62,FALSE))&lt;100000,25,100)))</f>
        <v>100</v>
      </c>
      <c r="F39" s="680">
        <f t="shared" ref="F39:F70" si="5">E39*D39*B39</f>
        <v>70</v>
      </c>
      <c r="G39" s="680">
        <f>IF(F39&lt;&gt;0,MIN(F39,[1]Toxicity!CA35),[1]Toxicity!CA35)</f>
        <v>70</v>
      </c>
      <c r="H39" s="620">
        <f>MAX(G39,[1]Toxicity!AY35,[1]Toxicity!AN35)</f>
        <v>70</v>
      </c>
      <c r="I39" s="681">
        <f t="shared" si="3"/>
        <v>70</v>
      </c>
      <c r="J39" s="682" t="str">
        <f>IF(H39=0,"Not Calculated",IF(H39=F39,C39,IF(H39=[1]Toxicity!CA35,"Ceiling",IF(H39=[1]Toxicity!AY35,"PQL","Bckgrnd"))))</f>
        <v>acute LC50/10</v>
      </c>
      <c r="K39" s="62"/>
      <c r="M39" s="676"/>
    </row>
    <row r="40" spans="1:13" ht="14" x14ac:dyDescent="0.25">
      <c r="A40" s="540" t="s">
        <v>282</v>
      </c>
      <c r="B40" s="677">
        <f>'GW-3 SW Target'!AC40</f>
        <v>1</v>
      </c>
      <c r="C40" s="678" t="str">
        <f t="shared" si="4"/>
        <v>CCC(SW)</v>
      </c>
      <c r="D40" s="679">
        <v>10</v>
      </c>
      <c r="E40" s="680">
        <f>IF((VLOOKUP(A40,[1]!TOX,62,FALSE))=0,2.5,IF((VLOOKUP(A40,[1]!TOX,62,FALSE))&lt;1000,2.5,IF((VLOOKUP(A40,[1]!TOX,62,FALSE))&lt;100000,25,100)))</f>
        <v>2.5</v>
      </c>
      <c r="F40" s="680">
        <f t="shared" si="5"/>
        <v>25</v>
      </c>
      <c r="G40" s="680">
        <f>IF(F40&lt;&gt;0,MIN(F40,[1]Toxicity!CA36),[1]Toxicity!CA36)</f>
        <v>25</v>
      </c>
      <c r="H40" s="620">
        <f>MAX(G40,[1]Toxicity!AY36,[1]Toxicity!AN36)</f>
        <v>25</v>
      </c>
      <c r="I40" s="681">
        <f t="shared" si="3"/>
        <v>30</v>
      </c>
      <c r="J40" s="682" t="str">
        <f>IF(H40=0,"Not Calculated",IF(H40=F40,C40,IF(H40=[1]Toxicity!CA36,"Ceiling",IF(H40=[1]Toxicity!AY36,"PQL","Bckgrnd"))))</f>
        <v>CCC(SW)</v>
      </c>
      <c r="K40" s="62"/>
      <c r="M40" s="676"/>
    </row>
    <row r="41" spans="1:13" ht="14" x14ac:dyDescent="0.25">
      <c r="A41" s="540" t="s">
        <v>192</v>
      </c>
      <c r="B41" s="677">
        <f>'GW-3 SW Target'!AC41</f>
        <v>0.04</v>
      </c>
      <c r="C41" s="678" t="str">
        <f t="shared" si="4"/>
        <v>acute LC50/10</v>
      </c>
      <c r="D41" s="679">
        <v>10</v>
      </c>
      <c r="E41" s="680">
        <f>IF((VLOOKUP(A41,[1]!TOX,62,FALSE))=0,2.5,IF((VLOOKUP(A41,[1]!TOX,62,FALSE))&lt;1000,2.5,IF((VLOOKUP(A41,[1]!TOX,62,FALSE))&lt;100000,25,100)))</f>
        <v>100</v>
      </c>
      <c r="F41" s="680">
        <f t="shared" si="5"/>
        <v>40</v>
      </c>
      <c r="G41" s="680">
        <f>IF(F41&lt;&gt;0,MIN(F41,[1]Toxicity!CA37),[1]Toxicity!CA37)</f>
        <v>40</v>
      </c>
      <c r="H41" s="620">
        <f>MAX(G41,[1]Toxicity!AY37,[1]Toxicity!AN37)</f>
        <v>40</v>
      </c>
      <c r="I41" s="681">
        <f t="shared" si="3"/>
        <v>40</v>
      </c>
      <c r="J41" s="682" t="str">
        <f>IF(H41=0,"Not Calculated",IF(H41=F41,C41,IF(H41=[1]Toxicity!CA37,"Ceiling",IF(H41=[1]Toxicity!AY37,"PQL","Bckgrnd"))))</f>
        <v>acute LC50/10</v>
      </c>
      <c r="K41" s="62"/>
      <c r="M41" s="676"/>
    </row>
    <row r="42" spans="1:13" ht="14" x14ac:dyDescent="0.25">
      <c r="A42" s="540" t="s">
        <v>193</v>
      </c>
      <c r="B42" s="677">
        <f>'GW-3 SW Target'!AC42</f>
        <v>3400</v>
      </c>
      <c r="C42" s="678" t="str">
        <f t="shared" si="4"/>
        <v>acute LC50/10</v>
      </c>
      <c r="D42" s="679">
        <v>10</v>
      </c>
      <c r="E42" s="680">
        <f>IF((VLOOKUP(A42,[1]!TOX,62,FALSE))=0,2.5,IF((VLOOKUP(A42,[1]!TOX,62,FALSE))&lt;1000,2.5,IF((VLOOKUP(A42,[1]!TOX,62,FALSE))&lt;100000,25,100)))</f>
        <v>2.5</v>
      </c>
      <c r="F42" s="680">
        <f t="shared" si="5"/>
        <v>85000</v>
      </c>
      <c r="G42" s="680">
        <f>IF(F42&lt;&gt;0,MIN(F42,[1]Toxicity!CA38),[1]Toxicity!CA38)</f>
        <v>50000</v>
      </c>
      <c r="H42" s="620">
        <f>MAX(G42,[1]Toxicity!AY38,[1]Toxicity!AN38)</f>
        <v>50000</v>
      </c>
      <c r="I42" s="681">
        <f t="shared" si="3"/>
        <v>50000</v>
      </c>
      <c r="J42" s="682" t="str">
        <f>IF(H42=0,"Not Calculated",IF(H42=F42,C42,IF(H42=[1]Toxicity!CA38,"Ceiling",IF(H42=[1]Toxicity!AY38,"PQL","Bckgrnd"))))</f>
        <v>Ceiling</v>
      </c>
      <c r="K42" s="62"/>
      <c r="M42" s="676"/>
    </row>
    <row r="43" spans="1:13" ht="14" x14ac:dyDescent="0.25">
      <c r="A43" s="540" t="s">
        <v>194</v>
      </c>
      <c r="B43" s="677">
        <f>'GW-3 SW Target'!AC43</f>
        <v>78</v>
      </c>
      <c r="C43" s="678" t="str">
        <f t="shared" si="4"/>
        <v>acute IC50/10</v>
      </c>
      <c r="D43" s="679">
        <v>10</v>
      </c>
      <c r="E43" s="680">
        <f>IF((VLOOKUP(A43,[1]!TOX,62,FALSE))=0,2.5,IF((VLOOKUP(A43,[1]!TOX,62,FALSE))&lt;1000,2.5,IF((VLOOKUP(A43,[1]!TOX,62,FALSE))&lt;100000,25,100)))</f>
        <v>2.5</v>
      </c>
      <c r="F43" s="680">
        <f t="shared" si="5"/>
        <v>1950</v>
      </c>
      <c r="G43" s="680">
        <f>IF(F43&lt;&gt;0,MIN(F43,[1]Toxicity!CA39),[1]Toxicity!CA39)</f>
        <v>1950</v>
      </c>
      <c r="H43" s="620">
        <f>MAX(G43,[1]Toxicity!AY39,[1]Toxicity!AN39)</f>
        <v>1950</v>
      </c>
      <c r="I43" s="681">
        <f t="shared" si="3"/>
        <v>2000</v>
      </c>
      <c r="J43" s="682" t="str">
        <f>IF(H43=0,"Not Calculated",IF(H43=F43,C43,IF(H43=[1]Toxicity!CA39,"Ceiling",IF(H43=[1]Toxicity!AY39,"PQL","Bckgrnd"))))</f>
        <v>acute IC50/10</v>
      </c>
      <c r="K43" s="62"/>
      <c r="M43" s="676"/>
    </row>
    <row r="44" spans="1:13" ht="14" x14ac:dyDescent="0.25">
      <c r="A44" s="540" t="s">
        <v>195</v>
      </c>
      <c r="B44" s="677">
        <f>'GW-3 SW Target'!AC44</f>
        <v>1500</v>
      </c>
      <c r="C44" s="678" t="str">
        <f t="shared" si="4"/>
        <v>chronic LOEC</v>
      </c>
      <c r="D44" s="679">
        <v>10</v>
      </c>
      <c r="E44" s="680">
        <f>IF((VLOOKUP(A44,[1]!TOX,62,FALSE))=0,2.5,IF((VLOOKUP(A44,[1]!TOX,62,FALSE))&lt;1000,2.5,IF((VLOOKUP(A44,[1]!TOX,62,FALSE))&lt;100000,25,100)))</f>
        <v>25</v>
      </c>
      <c r="F44" s="680">
        <f t="shared" si="5"/>
        <v>375000</v>
      </c>
      <c r="G44" s="680">
        <f>IF(F44&lt;&gt;0,MIN(F44,[1]Toxicity!CA40),[1]Toxicity!CA40)</f>
        <v>50000</v>
      </c>
      <c r="H44" s="620">
        <f>MAX(G44,[1]Toxicity!AY40,[1]Toxicity!AN40)</f>
        <v>50000</v>
      </c>
      <c r="I44" s="681">
        <f t="shared" si="3"/>
        <v>50000</v>
      </c>
      <c r="J44" s="682" t="str">
        <f>IF(H44=0,"Not Calculated",IF(H44=F44,C44,IF(H44=[1]Toxicity!CA40,"Ceiling",IF(H44=[1]Toxicity!AY40,"PQL","Bckgrnd"))))</f>
        <v>Ceiling</v>
      </c>
      <c r="K44" s="62"/>
      <c r="M44" s="676"/>
    </row>
    <row r="45" spans="1:13" ht="14" x14ac:dyDescent="0.25">
      <c r="A45" s="540" t="s">
        <v>196</v>
      </c>
      <c r="B45" s="677">
        <f>'GW-3 SW Target'!AC45</f>
        <v>310</v>
      </c>
      <c r="C45" s="678" t="str">
        <f t="shared" si="4"/>
        <v>chronic LOEC</v>
      </c>
      <c r="D45" s="679">
        <v>10</v>
      </c>
      <c r="E45" s="680">
        <f>IF((VLOOKUP(A45,[1]!TOX,62,FALSE))=0,2.5,IF((VLOOKUP(A45,[1]!TOX,62,FALSE))&lt;1000,2.5,IF((VLOOKUP(A45,[1]!TOX,62,FALSE))&lt;100000,25,100)))</f>
        <v>2.5</v>
      </c>
      <c r="F45" s="680">
        <f t="shared" si="5"/>
        <v>7750</v>
      </c>
      <c r="G45" s="680">
        <f>IF(F45&lt;&gt;0,MIN(F45,[1]Toxicity!CA41),[1]Toxicity!CA41)</f>
        <v>7750</v>
      </c>
      <c r="H45" s="620">
        <f>MAX(G45,[1]Toxicity!AY41,[1]Toxicity!AN41)</f>
        <v>7750</v>
      </c>
      <c r="I45" s="681">
        <f t="shared" si="3"/>
        <v>8000</v>
      </c>
      <c r="J45" s="682" t="str">
        <f>IF(H45=0,"Not Calculated",IF(H45=F45,C45,IF(H45=[1]Toxicity!CA41,"Ceiling",IF(H45=[1]Toxicity!AY41,"PQL","Bckgrnd"))))</f>
        <v>chronic LOEC</v>
      </c>
      <c r="K45" s="62"/>
      <c r="M45" s="676"/>
    </row>
    <row r="46" spans="1:13" ht="14" x14ac:dyDescent="0.25">
      <c r="A46" s="540" t="s">
        <v>197</v>
      </c>
      <c r="B46" s="677">
        <f>'GW-3 SW Target'!AC46</f>
        <v>73</v>
      </c>
      <c r="C46" s="678" t="str">
        <f t="shared" si="4"/>
        <v>acute LC50/10</v>
      </c>
      <c r="D46" s="679">
        <v>10</v>
      </c>
      <c r="E46" s="680">
        <f>IF((VLOOKUP(A46,[1]!TOX,62,FALSE))=0,2.5,IF((VLOOKUP(A46,[1]!TOX,62,FALSE))&lt;1000,2.5,IF((VLOOKUP(A46,[1]!TOX,62,FALSE))&lt;100000,25,100)))</f>
        <v>2.5</v>
      </c>
      <c r="F46" s="680">
        <f t="shared" si="5"/>
        <v>1825</v>
      </c>
      <c r="G46" s="680">
        <f>IF(F46&lt;&gt;0,MIN(F46,[1]Toxicity!CA42),[1]Toxicity!CA42)</f>
        <v>1825</v>
      </c>
      <c r="H46" s="620">
        <f>MAX(G46,[1]Toxicity!AY42,[1]Toxicity!AN42)</f>
        <v>1825</v>
      </c>
      <c r="I46" s="681">
        <f t="shared" si="3"/>
        <v>2000</v>
      </c>
      <c r="J46" s="682" t="str">
        <f>IF(H46=0,"Not Calculated",IF(H46=F46,C46,IF(H46=[1]Toxicity!CA42,"Ceiling",IF(H46=[1]Toxicity!AY42,"PQL","Bckgrnd"))))</f>
        <v>acute LC50/10</v>
      </c>
      <c r="K46" s="62"/>
      <c r="M46" s="676"/>
    </row>
    <row r="47" spans="1:13" ht="20" x14ac:dyDescent="0.25">
      <c r="A47" s="510" t="s">
        <v>198</v>
      </c>
      <c r="B47" s="677">
        <f>'GW-3 SW Target'!AC47</f>
        <v>0.18</v>
      </c>
      <c r="C47" s="678" t="str">
        <f t="shared" si="4"/>
        <v>chronic LC50</v>
      </c>
      <c r="D47" s="679">
        <v>10</v>
      </c>
      <c r="E47" s="680">
        <f>IF((VLOOKUP(A47,[1]!TOX,62,FALSE))=0,2.5,IF((VLOOKUP(A47,[1]!TOX,62,FALSE))&lt;1000,2.5,IF((VLOOKUP(A47,[1]!TOX,62,FALSE))&lt;100000,25,100)))</f>
        <v>25</v>
      </c>
      <c r="F47" s="680">
        <f t="shared" si="5"/>
        <v>45</v>
      </c>
      <c r="G47" s="680">
        <f>IF(F47&lt;&gt;0,MIN(F47,[1]Toxicity!CA43),[1]Toxicity!CA43)</f>
        <v>45</v>
      </c>
      <c r="H47" s="620">
        <f>MAX(G47,[1]Toxicity!AY43,[1]Toxicity!AN43)</f>
        <v>45</v>
      </c>
      <c r="I47" s="681">
        <f t="shared" si="3"/>
        <v>50</v>
      </c>
      <c r="J47" s="682" t="str">
        <f>IF(H47=0,"Not Calculated",IF(H47=F47,C47,IF(H47=[1]Toxicity!CA43,"Ceiling",IF(H47=[1]Toxicity!AY43,"PQL","Bckgrnd"))))</f>
        <v>chronic LC50</v>
      </c>
      <c r="K47" s="62"/>
      <c r="M47" s="676"/>
    </row>
    <row r="48" spans="1:13" ht="20" x14ac:dyDescent="0.25">
      <c r="A48" s="510" t="s">
        <v>199</v>
      </c>
      <c r="B48" s="677">
        <f>'GW-3 SW Target'!AC48</f>
        <v>1.7</v>
      </c>
      <c r="C48" s="678" t="str">
        <f t="shared" si="4"/>
        <v>chronic LC50</v>
      </c>
      <c r="D48" s="679">
        <v>10</v>
      </c>
      <c r="E48" s="680">
        <f>IF((VLOOKUP(A48,[1]!TOX,62,FALSE))=0,2.5,IF((VLOOKUP(A48,[1]!TOX,62,FALSE))&lt;1000,2.5,IF((VLOOKUP(A48,[1]!TOX,62,FALSE))&lt;100000,25,100)))</f>
        <v>25</v>
      </c>
      <c r="F48" s="680">
        <f t="shared" si="5"/>
        <v>425</v>
      </c>
      <c r="G48" s="680">
        <f>IF(F48&lt;&gt;0,MIN(F48,[1]Toxicity!CA44),[1]Toxicity!CA44)</f>
        <v>425</v>
      </c>
      <c r="H48" s="620">
        <f>MAX(G48,[1]Toxicity!AY44,[1]Toxicity!AN44)</f>
        <v>425</v>
      </c>
      <c r="I48" s="681">
        <f t="shared" si="3"/>
        <v>400</v>
      </c>
      <c r="J48" s="682" t="str">
        <f>IF(H48=0,"Not Calculated",IF(H48=F48,C48,IF(H48=[1]Toxicity!CA44,"Ceiling",IF(H48=[1]Toxicity!AY44,"PQL","Bckgrnd"))))</f>
        <v>chronic LC50</v>
      </c>
      <c r="K48" s="62"/>
      <c r="M48" s="676"/>
    </row>
    <row r="49" spans="1:13" ht="20" x14ac:dyDescent="0.25">
      <c r="A49" s="510" t="s">
        <v>200</v>
      </c>
      <c r="B49" s="677">
        <f>'GW-3 SW Target'!AC49</f>
        <v>1E-3</v>
      </c>
      <c r="C49" s="678" t="str">
        <f t="shared" si="4"/>
        <v>CCC(SW)</v>
      </c>
      <c r="D49" s="679">
        <v>10</v>
      </c>
      <c r="E49" s="680">
        <f>IF((VLOOKUP(A49,[1]!TOX,62,FALSE))=0,2.5,IF((VLOOKUP(A49,[1]!TOX,62,FALSE))&lt;1000,2.5,IF((VLOOKUP(A49,[1]!TOX,62,FALSE))&lt;100000,25,100)))</f>
        <v>100</v>
      </c>
      <c r="F49" s="680">
        <f t="shared" si="5"/>
        <v>1</v>
      </c>
      <c r="G49" s="680">
        <f>IF(F49&lt;&gt;0,MIN(F49,[1]Toxicity!CA45),[1]Toxicity!CA45)</f>
        <v>1</v>
      </c>
      <c r="H49" s="620">
        <f>MAX(G49,[1]Toxicity!AY45,[1]Toxicity!AN45)</f>
        <v>1</v>
      </c>
      <c r="I49" s="681">
        <f t="shared" si="3"/>
        <v>1</v>
      </c>
      <c r="J49" s="682" t="str">
        <f>IF(H49=0,"Not Calculated",IF(H49=F49,C49,IF(H49=[1]Toxicity!CA45,"Ceiling",IF(H49=[1]Toxicity!AY45,"PQL","Bckgrnd"))))</f>
        <v>CCC(SW)</v>
      </c>
      <c r="K49" s="62"/>
      <c r="M49" s="676"/>
    </row>
    <row r="50" spans="1:13" ht="14" x14ac:dyDescent="0.25">
      <c r="A50" s="540" t="s">
        <v>201</v>
      </c>
      <c r="B50" s="677">
        <f>'GW-3 SW Target'!AC50</f>
        <v>990</v>
      </c>
      <c r="C50" s="678" t="str">
        <f t="shared" si="4"/>
        <v>chronic LOEC</v>
      </c>
      <c r="D50" s="679">
        <v>10</v>
      </c>
      <c r="E50" s="680">
        <f>IF((VLOOKUP(A50,[1]!TOX,62,FALSE))=0,2.5,IF((VLOOKUP(A50,[1]!TOX,62,FALSE))&lt;1000,2.5,IF((VLOOKUP(A50,[1]!TOX,62,FALSE))&lt;100000,25,100)))</f>
        <v>2.5</v>
      </c>
      <c r="F50" s="680">
        <f t="shared" si="5"/>
        <v>24750</v>
      </c>
      <c r="G50" s="680">
        <f>IF(F50&lt;&gt;0,MIN(F50,[1]Toxicity!CA46),[1]Toxicity!CA46)</f>
        <v>24750</v>
      </c>
      <c r="H50" s="620">
        <f>MAX(G50,[1]Toxicity!AY46,[1]Toxicity!AN46)</f>
        <v>24750</v>
      </c>
      <c r="I50" s="681">
        <f t="shared" si="3"/>
        <v>20000</v>
      </c>
      <c r="J50" s="682" t="str">
        <f>IF(H50=0,"Not Calculated",IF(H50=F50,C50,IF(H50=[1]Toxicity!CA46,"Ceiling",IF(H50=[1]Toxicity!AY46,"PQL","Bckgrnd"))))</f>
        <v>chronic LOEC</v>
      </c>
      <c r="K50" s="62"/>
      <c r="M50" s="676"/>
    </row>
    <row r="51" spans="1:13" ht="14" x14ac:dyDescent="0.25">
      <c r="A51" s="540" t="s">
        <v>202</v>
      </c>
      <c r="B51" s="677">
        <f>'GW-3 SW Target'!AC51</f>
        <v>990</v>
      </c>
      <c r="C51" s="678" t="str">
        <f t="shared" si="4"/>
        <v>chronic LOEC</v>
      </c>
      <c r="D51" s="679">
        <v>10</v>
      </c>
      <c r="E51" s="680">
        <f>IF((VLOOKUP(A51,[1]!TOX,62,FALSE))=0,2.5,IF((VLOOKUP(A51,[1]!TOX,62,FALSE))&lt;1000,2.5,IF((VLOOKUP(A51,[1]!TOX,62,FALSE))&lt;100000,25,100)))</f>
        <v>2.5</v>
      </c>
      <c r="F51" s="680">
        <f t="shared" si="5"/>
        <v>24750</v>
      </c>
      <c r="G51" s="680">
        <f>IF(F51&lt;&gt;0,MIN(F51,[1]Toxicity!CA47),[1]Toxicity!CA47)</f>
        <v>24750</v>
      </c>
      <c r="H51" s="620">
        <f>MAX(G51,[1]Toxicity!AY47,[1]Toxicity!AN47)</f>
        <v>24750</v>
      </c>
      <c r="I51" s="681">
        <f t="shared" si="3"/>
        <v>20000</v>
      </c>
      <c r="J51" s="682" t="str">
        <f>IF(H51=0,"Not Calculated",IF(H51=F51,C51,IF(H51=[1]Toxicity!CA47,"Ceiling",IF(H51=[1]Toxicity!AY47,"PQL","Bckgrnd"))))</f>
        <v>chronic LOEC</v>
      </c>
      <c r="K51" s="62"/>
      <c r="M51" s="676"/>
    </row>
    <row r="52" spans="1:13" ht="14" x14ac:dyDescent="0.25">
      <c r="A52" s="540" t="s">
        <v>203</v>
      </c>
      <c r="B52" s="677">
        <f>'GW-3 SW Target'!AC52</f>
        <v>1200</v>
      </c>
      <c r="C52" s="678" t="str">
        <f t="shared" si="4"/>
        <v>acute LC50/10</v>
      </c>
      <c r="D52" s="679">
        <v>10</v>
      </c>
      <c r="E52" s="680">
        <f>IF((VLOOKUP(A52,[1]!TOX,62,FALSE))=0,2.5,IF((VLOOKUP(A52,[1]!TOX,62,FALSE))&lt;1000,2.5,IF((VLOOKUP(A52,[1]!TOX,62,FALSE))&lt;100000,25,100)))</f>
        <v>2.5</v>
      </c>
      <c r="F52" s="680">
        <f t="shared" si="5"/>
        <v>30000</v>
      </c>
      <c r="G52" s="680">
        <f>IF(F52&lt;&gt;0,MIN(F52,[1]Toxicity!CA48),[1]Toxicity!CA48)</f>
        <v>30000</v>
      </c>
      <c r="H52" s="620">
        <f>MAX(G52,[1]Toxicity!AY48,[1]Toxicity!AN48)</f>
        <v>30000</v>
      </c>
      <c r="I52" s="681">
        <f t="shared" si="3"/>
        <v>30000</v>
      </c>
      <c r="J52" s="682" t="str">
        <f>IF(H52=0,"Not Calculated",IF(H52=F52,C52,IF(H52=[1]Toxicity!CA48,"Ceiling",IF(H52=[1]Toxicity!AY48,"PQL","Bckgrnd"))))</f>
        <v>acute LC50/10</v>
      </c>
      <c r="K52" s="62"/>
      <c r="M52" s="676"/>
    </row>
    <row r="53" spans="1:13" ht="14" x14ac:dyDescent="0.25">
      <c r="A53" s="540" t="s">
        <v>204</v>
      </c>
      <c r="B53" s="677">
        <f>'GW-3 SW Target'!AC53</f>
        <v>14000</v>
      </c>
      <c r="C53" s="678" t="str">
        <f t="shared" si="4"/>
        <v>acute LC50/10</v>
      </c>
      <c r="D53" s="679">
        <v>10</v>
      </c>
      <c r="E53" s="680">
        <f>IF((VLOOKUP(A53,[1]!TOX,62,FALSE))=0,2.5,IF((VLOOKUP(A53,[1]!TOX,62,FALSE))&lt;1000,2.5,IF((VLOOKUP(A53,[1]!TOX,62,FALSE))&lt;100000,25,100)))</f>
        <v>2.5</v>
      </c>
      <c r="F53" s="680">
        <f t="shared" si="5"/>
        <v>350000</v>
      </c>
      <c r="G53" s="680">
        <f>IF(F53&lt;&gt;0,MIN(F53,[1]Toxicity!CA49),[1]Toxicity!CA49)</f>
        <v>50000</v>
      </c>
      <c r="H53" s="620">
        <f>MAX(G53,[1]Toxicity!AY49,[1]Toxicity!AN49)</f>
        <v>50000</v>
      </c>
      <c r="I53" s="681">
        <f t="shared" si="3"/>
        <v>50000</v>
      </c>
      <c r="J53" s="682" t="str">
        <f>IF(H53=0,"Not Calculated",IF(H53=F53,C53,IF(H53=[1]Toxicity!CA49,"Ceiling",IF(H53=[1]Toxicity!AY49,"PQL","Bckgrnd"))))</f>
        <v>Ceiling</v>
      </c>
      <c r="K53" s="62"/>
      <c r="M53" s="676"/>
    </row>
    <row r="54" spans="1:13" ht="14" x14ac:dyDescent="0.25">
      <c r="A54" s="540" t="s">
        <v>205</v>
      </c>
      <c r="B54" s="677">
        <f>'GW-3 SW Target'!AC54</f>
        <v>22000</v>
      </c>
      <c r="C54" s="678" t="str">
        <f t="shared" si="4"/>
        <v>acute LC50/10</v>
      </c>
      <c r="D54" s="679">
        <v>10</v>
      </c>
      <c r="E54" s="680">
        <f>IF((VLOOKUP(A54,[1]!TOX,62,FALSE))=0,2.5,IF((VLOOKUP(A54,[1]!TOX,62,FALSE))&lt;1000,2.5,IF((VLOOKUP(A54,[1]!TOX,62,FALSE))&lt;100000,25,100)))</f>
        <v>2.5</v>
      </c>
      <c r="F54" s="680">
        <f t="shared" si="5"/>
        <v>550000</v>
      </c>
      <c r="G54" s="680">
        <f>IF(F54&lt;&gt;0,MIN(F54,[1]Toxicity!CA50),[1]Toxicity!CA50)</f>
        <v>50000</v>
      </c>
      <c r="H54" s="620">
        <f>MAX(G54,[1]Toxicity!AY50,[1]Toxicity!AN50)</f>
        <v>50000</v>
      </c>
      <c r="I54" s="681">
        <f t="shared" si="3"/>
        <v>50000</v>
      </c>
      <c r="J54" s="682" t="str">
        <f>IF(H54=0,"Not Calculated",IF(H54=F54,C54,IF(H54=[1]Toxicity!CA50,"Ceiling",IF(H54=[1]Toxicity!AY50,"PQL","Bckgrnd"))))</f>
        <v>Ceiling</v>
      </c>
      <c r="K54" s="62"/>
      <c r="M54" s="676"/>
    </row>
    <row r="55" spans="1:13" ht="14" x14ac:dyDescent="0.25">
      <c r="A55" s="540" t="s">
        <v>206</v>
      </c>
      <c r="B55" s="677">
        <f>'GW-3 SW Target'!AC55</f>
        <v>6700</v>
      </c>
      <c r="C55" s="678" t="str">
        <f t="shared" si="4"/>
        <v>chronic LOEC</v>
      </c>
      <c r="D55" s="679">
        <v>10</v>
      </c>
      <c r="E55" s="680">
        <f>IF((VLOOKUP(A55,[1]!TOX,62,FALSE))=0,2.5,IF((VLOOKUP(A55,[1]!TOX,62,FALSE))&lt;1000,2.5,IF((VLOOKUP(A55,[1]!TOX,62,FALSE))&lt;100000,25,100)))</f>
        <v>2.5</v>
      </c>
      <c r="F55" s="680">
        <f t="shared" si="5"/>
        <v>167500</v>
      </c>
      <c r="G55" s="680">
        <f>IF(F55&lt;&gt;0,MIN(F55,[1]Toxicity!CA51),[1]Toxicity!CA51)</f>
        <v>50000</v>
      </c>
      <c r="H55" s="620">
        <f>MAX(G55,[1]Toxicity!AY51,[1]Toxicity!AN51)</f>
        <v>50000</v>
      </c>
      <c r="I55" s="681">
        <f t="shared" si="3"/>
        <v>50000</v>
      </c>
      <c r="J55" s="682" t="str">
        <f>IF(H55=0,"Not Calculated",IF(H55=F55,C55,IF(H55=[1]Toxicity!CA51,"Ceiling",IF(H55=[1]Toxicity!AY51,"PQL","Bckgrnd"))))</f>
        <v>Ceiling</v>
      </c>
      <c r="K55" s="62"/>
      <c r="M55" s="676"/>
    </row>
    <row r="56" spans="1:13" ht="14" x14ac:dyDescent="0.25">
      <c r="A56" s="540" t="s">
        <v>207</v>
      </c>
      <c r="B56" s="677">
        <f>'GW-3 SW Target'!AC56</f>
        <v>80</v>
      </c>
      <c r="C56" s="678" t="str">
        <f t="shared" si="4"/>
        <v>chronic LC50</v>
      </c>
      <c r="D56" s="679">
        <v>10</v>
      </c>
      <c r="E56" s="680">
        <f>IF((VLOOKUP(A56,[1]!TOX,62,FALSE))=0,2.5,IF((VLOOKUP(A56,[1]!TOX,62,FALSE))&lt;1000,2.5,IF((VLOOKUP(A56,[1]!TOX,62,FALSE))&lt;100000,25,100)))</f>
        <v>2.5</v>
      </c>
      <c r="F56" s="680">
        <f t="shared" si="5"/>
        <v>2000</v>
      </c>
      <c r="G56" s="680">
        <f>IF(F56&lt;&gt;0,MIN(F56,[1]Toxicity!CA52),[1]Toxicity!CA52)</f>
        <v>2000</v>
      </c>
      <c r="H56" s="620">
        <f>MAX(G56,[1]Toxicity!AY52,[1]Toxicity!AN52)</f>
        <v>2000</v>
      </c>
      <c r="I56" s="681">
        <f t="shared" si="3"/>
        <v>2000</v>
      </c>
      <c r="J56" s="682" t="str">
        <f>IF(H56=0,"Not Calculated",IF(H56=F56,C56,IF(H56=[1]Toxicity!CA52,"Ceiling",IF(H56=[1]Toxicity!AY52,"PQL","Bckgrnd"))))</f>
        <v>chronic LC50</v>
      </c>
      <c r="K56" s="62"/>
      <c r="M56" s="676"/>
    </row>
    <row r="57" spans="1:13" ht="14" x14ac:dyDescent="0.25">
      <c r="A57" s="540" t="s">
        <v>208</v>
      </c>
      <c r="B57" s="677">
        <f>'GW-3 SW Target'!AC57</f>
        <v>25000</v>
      </c>
      <c r="C57" s="678" t="str">
        <f t="shared" si="4"/>
        <v>chronic LOEC</v>
      </c>
      <c r="D57" s="679">
        <v>10</v>
      </c>
      <c r="E57" s="680">
        <f>IF((VLOOKUP(A57,[1]!TOX,62,FALSE))=0,2.5,IF((VLOOKUP(A57,[1]!TOX,62,FALSE))&lt;1000,2.5,IF((VLOOKUP(A57,[1]!TOX,62,FALSE))&lt;100000,25,100)))</f>
        <v>2.5</v>
      </c>
      <c r="F57" s="680">
        <f t="shared" si="5"/>
        <v>625000</v>
      </c>
      <c r="G57" s="680">
        <f>IF(F57&lt;&gt;0,MIN(F57,[1]Toxicity!CA53),[1]Toxicity!CA53)</f>
        <v>50000</v>
      </c>
      <c r="H57" s="620">
        <f>MAX(G57,[1]Toxicity!AY53,[1]Toxicity!AN53)</f>
        <v>50000</v>
      </c>
      <c r="I57" s="681">
        <f t="shared" si="3"/>
        <v>50000</v>
      </c>
      <c r="J57" s="682" t="str">
        <f>IF(H57=0,"Not Calculated",IF(H57=F57,C57,IF(H57=[1]Toxicity!CA53,"Ceiling",IF(H57=[1]Toxicity!AY53,"PQL","Bckgrnd"))))</f>
        <v>Ceiling</v>
      </c>
      <c r="K57" s="62"/>
      <c r="M57" s="676"/>
    </row>
    <row r="58" spans="1:13" ht="14" x14ac:dyDescent="0.25">
      <c r="A58" s="540" t="s">
        <v>209</v>
      </c>
      <c r="B58" s="677">
        <f>'GW-3 SW Target'!AC58</f>
        <v>9</v>
      </c>
      <c r="C58" s="678" t="str">
        <f t="shared" si="4"/>
        <v>acute EC50/10</v>
      </c>
      <c r="D58" s="679">
        <v>10</v>
      </c>
      <c r="E58" s="680">
        <f>IF((VLOOKUP(A58,[1]!TOX,62,FALSE))=0,2.5,IF((VLOOKUP(A58,[1]!TOX,62,FALSE))&lt;1000,2.5,IF((VLOOKUP(A58,[1]!TOX,62,FALSE))&lt;100000,25,100)))</f>
        <v>2.5</v>
      </c>
      <c r="F58" s="680">
        <f t="shared" si="5"/>
        <v>225</v>
      </c>
      <c r="G58" s="680">
        <f>IF(F58&lt;&gt;0,MIN(F58,[1]Toxicity!CA54),[1]Toxicity!CA54)</f>
        <v>225</v>
      </c>
      <c r="H58" s="620">
        <f>MAX(G58,[1]Toxicity!AY54,[1]Toxicity!AN54)</f>
        <v>225</v>
      </c>
      <c r="I58" s="681">
        <f t="shared" si="3"/>
        <v>200</v>
      </c>
      <c r="J58" s="682" t="str">
        <f>IF(H58=0,"Not Calculated",IF(H58=F58,C58,IF(H58=[1]Toxicity!CA54,"Ceiling",IF(H58=[1]Toxicity!AY54,"PQL","Bckgrnd"))))</f>
        <v>acute EC50/10</v>
      </c>
      <c r="K58" s="62"/>
      <c r="M58" s="676"/>
    </row>
    <row r="59" spans="1:13" ht="14" x14ac:dyDescent="0.25">
      <c r="A59" s="540" t="s">
        <v>210</v>
      </c>
      <c r="B59" s="677">
        <f>'GW-3 SW Target'!AC59</f>
        <v>1.9E-3</v>
      </c>
      <c r="C59" s="678" t="str">
        <f t="shared" si="4"/>
        <v>CCC(SW)</v>
      </c>
      <c r="D59" s="679">
        <v>10</v>
      </c>
      <c r="E59" s="680">
        <f>IF((VLOOKUP(A59,[1]!TOX,62,FALSE))=0,2.5,IF((VLOOKUP(A59,[1]!TOX,62,FALSE))&lt;1000,2.5,IF((VLOOKUP(A59,[1]!TOX,62,FALSE))&lt;100000,25,100)))</f>
        <v>25</v>
      </c>
      <c r="F59" s="680">
        <f t="shared" si="5"/>
        <v>0.47499999999999998</v>
      </c>
      <c r="G59" s="680">
        <f>IF(F59&lt;&gt;0,MIN(F59,[1]Toxicity!CA55),[1]Toxicity!CA55)</f>
        <v>0.47499999999999998</v>
      </c>
      <c r="H59" s="620">
        <f>MAX(G59,[1]Toxicity!AY55,[1]Toxicity!AN55)</f>
        <v>0.47499999999999998</v>
      </c>
      <c r="I59" s="681">
        <f t="shared" si="3"/>
        <v>0.5</v>
      </c>
      <c r="J59" s="682" t="str">
        <f>IF(H59=0,"Not Calculated",IF(H59=F59,C59,IF(H59=[1]Toxicity!CA55,"Ceiling",IF(H59=[1]Toxicity!AY55,"PQL","Bckgrnd"))))</f>
        <v>CCC(SW)</v>
      </c>
      <c r="K59" s="62"/>
      <c r="M59" s="676"/>
    </row>
    <row r="60" spans="1:13" ht="14" x14ac:dyDescent="0.25">
      <c r="A60" s="540" t="s">
        <v>211</v>
      </c>
      <c r="B60" s="677">
        <f>'GW-3 SW Target'!AC60</f>
        <v>340</v>
      </c>
      <c r="C60" s="678" t="str">
        <f t="shared" si="4"/>
        <v>acute EC50/10</v>
      </c>
      <c r="D60" s="679">
        <v>10</v>
      </c>
      <c r="E60" s="680">
        <f>IF((VLOOKUP(A60,[1]!TOX,62,FALSE))=0,2.5,IF((VLOOKUP(A60,[1]!TOX,62,FALSE))&lt;1000,2.5,IF((VLOOKUP(A60,[1]!TOX,62,FALSE))&lt;100000,25,100)))</f>
        <v>2.5</v>
      </c>
      <c r="F60" s="680">
        <f t="shared" si="5"/>
        <v>8500</v>
      </c>
      <c r="G60" s="680">
        <f>IF(F60&lt;&gt;0,MIN(F60,[1]Toxicity!CA56),[1]Toxicity!CA56)</f>
        <v>8500</v>
      </c>
      <c r="H60" s="620">
        <f>MAX(G60,[1]Toxicity!AY56,[1]Toxicity!AN56)</f>
        <v>8500</v>
      </c>
      <c r="I60" s="681">
        <f t="shared" si="3"/>
        <v>9000</v>
      </c>
      <c r="J60" s="682" t="str">
        <f>IF(H60=0,"Not Calculated",IF(H60=F60,C60,IF(H60=[1]Toxicity!CA56,"Ceiling",IF(H60=[1]Toxicity!AY56,"PQL","Bckgrnd"))))</f>
        <v>acute EC50/10</v>
      </c>
      <c r="K60" s="62"/>
      <c r="M60" s="676"/>
    </row>
    <row r="61" spans="1:13" ht="14" x14ac:dyDescent="0.25">
      <c r="A61" s="540" t="s">
        <v>212</v>
      </c>
      <c r="B61" s="677">
        <f>'GW-3 SW Target'!AC61</f>
        <v>23000</v>
      </c>
      <c r="C61" s="678" t="str">
        <f t="shared" si="4"/>
        <v>chronic LOEC</v>
      </c>
      <c r="D61" s="679">
        <v>10</v>
      </c>
      <c r="E61" s="680">
        <f>IF((VLOOKUP(A61,[1]!TOX,62,FALSE))=0,2.5,IF((VLOOKUP(A61,[1]!TOX,62,FALSE))&lt;1000,2.5,IF((VLOOKUP(A61,[1]!TOX,62,FALSE))&lt;100000,25,100)))</f>
        <v>2.5</v>
      </c>
      <c r="F61" s="680">
        <f t="shared" si="5"/>
        <v>575000</v>
      </c>
      <c r="G61" s="680">
        <f>IF(F61&lt;&gt;0,MIN(F61,[1]Toxicity!CA57),[1]Toxicity!CA57)</f>
        <v>50000</v>
      </c>
      <c r="H61" s="620">
        <f>MAX(G61,[1]Toxicity!AY57,[1]Toxicity!AN57)</f>
        <v>50000</v>
      </c>
      <c r="I61" s="681">
        <f t="shared" si="3"/>
        <v>50000</v>
      </c>
      <c r="J61" s="682" t="str">
        <f>IF(H61=0,"Not Calculated",IF(H61=F61,C61,IF(H61=[1]Toxicity!CA57,"Ceiling",IF(H61=[1]Toxicity!AY57,"PQL","Bckgrnd"))))</f>
        <v>Ceiling</v>
      </c>
      <c r="K61" s="62"/>
      <c r="M61" s="676"/>
    </row>
    <row r="62" spans="1:13" ht="14" x14ac:dyDescent="0.25">
      <c r="A62" s="540" t="s">
        <v>213</v>
      </c>
      <c r="B62" s="677">
        <f>'GW-3 SW Target'!AC62</f>
        <v>3100</v>
      </c>
      <c r="C62" s="678" t="str">
        <f t="shared" si="4"/>
        <v>chronic LOEC</v>
      </c>
      <c r="D62" s="679">
        <v>10</v>
      </c>
      <c r="E62" s="680">
        <f>IF((VLOOKUP(A62,[1]!TOX,62,FALSE))=0,2.5,IF((VLOOKUP(A62,[1]!TOX,62,FALSE))&lt;1000,2.5,IF((VLOOKUP(A62,[1]!TOX,62,FALSE))&lt;100000,25,100)))</f>
        <v>2.5</v>
      </c>
      <c r="F62" s="680">
        <f t="shared" si="5"/>
        <v>77500</v>
      </c>
      <c r="G62" s="680">
        <f>IF(F62&lt;&gt;0,MIN(F62,[1]Toxicity!CA58),[1]Toxicity!CA58)</f>
        <v>50000</v>
      </c>
      <c r="H62" s="620">
        <f>MAX(G62,[1]Toxicity!AY58,[1]Toxicity!AN58)</f>
        <v>50000</v>
      </c>
      <c r="I62" s="681">
        <f t="shared" si="3"/>
        <v>50000</v>
      </c>
      <c r="J62" s="682" t="str">
        <f>IF(H62=0,"Not Calculated",IF(H62=F62,C62,IF(H62=[1]Toxicity!CA58,"Ceiling",IF(H62=[1]Toxicity!AY58,"PQL","Bckgrnd"))))</f>
        <v>Ceiling</v>
      </c>
      <c r="K62" s="62"/>
      <c r="M62" s="676"/>
    </row>
    <row r="63" spans="1:13" ht="14" x14ac:dyDescent="0.25">
      <c r="A63" s="540" t="s">
        <v>214</v>
      </c>
      <c r="B63" s="677">
        <f>'GW-3 SW Target'!AC63</f>
        <v>900</v>
      </c>
      <c r="C63" s="678" t="str">
        <f t="shared" si="4"/>
        <v>chronic LOEC</v>
      </c>
      <c r="D63" s="679">
        <v>10</v>
      </c>
      <c r="E63" s="680">
        <f>IF((VLOOKUP(A63,[1]!TOX,62,FALSE))=0,2.5,IF((VLOOKUP(A63,[1]!TOX,62,FALSE))&lt;1000,2.5,IF((VLOOKUP(A63,[1]!TOX,62,FALSE))&lt;100000,25,100)))</f>
        <v>2.5</v>
      </c>
      <c r="F63" s="680">
        <f t="shared" si="5"/>
        <v>22500</v>
      </c>
      <c r="G63" s="680">
        <f>IF(F63&lt;&gt;0,MIN(F63,[1]Toxicity!CA59),[1]Toxicity!CA59)</f>
        <v>22500</v>
      </c>
      <c r="H63" s="620">
        <f>MAX(G63,[1]Toxicity!AY59,[1]Toxicity!AN59)</f>
        <v>22500</v>
      </c>
      <c r="I63" s="681">
        <f t="shared" si="3"/>
        <v>20000</v>
      </c>
      <c r="J63" s="682" t="str">
        <f>IF(H63=0,"Not Calculated",IF(H63=F63,C63,IF(H63=[1]Toxicity!CA59,"Ceiling",IF(H63=[1]Toxicity!AY59,"PQL","Bckgrnd"))))</f>
        <v>chronic LOEC</v>
      </c>
      <c r="K63" s="62"/>
      <c r="M63" s="676"/>
    </row>
    <row r="64" spans="1:13" ht="14" x14ac:dyDescent="0.25">
      <c r="A64" s="540" t="s">
        <v>215</v>
      </c>
      <c r="B64" s="677">
        <f>'GW-3 SW Target'!AC64</f>
        <v>3800</v>
      </c>
      <c r="C64" s="678" t="str">
        <f t="shared" si="4"/>
        <v>acute EC50/10</v>
      </c>
      <c r="D64" s="679">
        <v>10</v>
      </c>
      <c r="E64" s="680">
        <f>IF((VLOOKUP(A64,[1]!TOX,62,FALSE))=0,2.5,IF((VLOOKUP(A64,[1]!TOX,62,FALSE))&lt;1000,2.5,IF((VLOOKUP(A64,[1]!TOX,62,FALSE))&lt;100000,25,100)))</f>
        <v>2.5</v>
      </c>
      <c r="F64" s="680">
        <f t="shared" si="5"/>
        <v>95000</v>
      </c>
      <c r="G64" s="680">
        <f>IF(F64&lt;&gt;0,MIN(F64,[1]Toxicity!CA60),[1]Toxicity!CA60)</f>
        <v>50000</v>
      </c>
      <c r="H64" s="620">
        <f>MAX(G64,[1]Toxicity!AY60,[1]Toxicity!AN60)</f>
        <v>50000</v>
      </c>
      <c r="I64" s="681">
        <f t="shared" si="3"/>
        <v>50000</v>
      </c>
      <c r="J64" s="682" t="str">
        <f>IF(H64=0,"Not Calculated",IF(H64=F64,C64,IF(H64=[1]Toxicity!CA60,"Ceiling",IF(H64=[1]Toxicity!AY60,"PQL","Bckgrnd"))))</f>
        <v>Ceiling</v>
      </c>
      <c r="K64" s="62"/>
      <c r="M64" s="676"/>
    </row>
    <row r="65" spans="1:13" ht="14" x14ac:dyDescent="0.25">
      <c r="A65" s="540" t="s">
        <v>343</v>
      </c>
      <c r="B65" s="677">
        <f>'GW-3 SW Target'!AC65</f>
        <v>990000</v>
      </c>
      <c r="C65" s="678" t="str">
        <f t="shared" si="4"/>
        <v>acute LC50/10</v>
      </c>
      <c r="D65" s="679">
        <v>10</v>
      </c>
      <c r="E65" s="680">
        <f>IF((VLOOKUP(A65,[1]!TOX,62,FALSE))=0,2.5,IF((VLOOKUP(A65,[1]!TOX,62,FALSE))&lt;1000,2.5,IF((VLOOKUP(A65,[1]!TOX,62,FALSE))&lt;100000,25,100)))</f>
        <v>2.5</v>
      </c>
      <c r="F65" s="680">
        <f t="shared" si="5"/>
        <v>24750000</v>
      </c>
      <c r="G65" s="680">
        <f>IF(F65&lt;&gt;0,MIN(F65,[1]Toxicity!CA61),[1]Toxicity!CA61)</f>
        <v>50000</v>
      </c>
      <c r="H65" s="620">
        <f>MAX(G65,[1]Toxicity!AY61,[1]Toxicity!AN61)</f>
        <v>50000</v>
      </c>
      <c r="I65" s="681">
        <f t="shared" si="3"/>
        <v>50000</v>
      </c>
      <c r="J65" s="682" t="str">
        <f>IF(H65=0,"Not Calculated",IF(H65=F65,C65,IF(H65=[1]Toxicity!CA61,"Ceiling",IF(H65=[1]Toxicity!AY61,"PQL","Bckgrnd"))))</f>
        <v>Ceiling</v>
      </c>
      <c r="K65" s="62"/>
      <c r="M65" s="676"/>
    </row>
    <row r="66" spans="1:13" ht="14" x14ac:dyDescent="0.25">
      <c r="A66" s="540" t="s">
        <v>216</v>
      </c>
      <c r="B66" s="677">
        <f>'GW-3 SW Target'!AC66</f>
        <v>8.6999999999999994E-3</v>
      </c>
      <c r="C66" s="678" t="str">
        <f t="shared" si="4"/>
        <v>CCC(SW)</v>
      </c>
      <c r="D66" s="679">
        <v>10</v>
      </c>
      <c r="E66" s="680">
        <f>IF((VLOOKUP(A66,[1]!TOX,62,FALSE))=0,2.5,IF((VLOOKUP(A66,[1]!TOX,62,FALSE))&lt;1000,2.5,IF((VLOOKUP(A66,[1]!TOX,62,FALSE))&lt;100000,25,100)))</f>
        <v>25</v>
      </c>
      <c r="F66" s="680">
        <f t="shared" si="5"/>
        <v>2.1749999999999998</v>
      </c>
      <c r="G66" s="680">
        <f>IF(F66&lt;&gt;0,MIN(F66,[1]Toxicity!CA62),[1]Toxicity!CA62)</f>
        <v>2.1749999999999998</v>
      </c>
      <c r="H66" s="620">
        <f>MAX(G66,[1]Toxicity!AY62,[1]Toxicity!AN62)</f>
        <v>2.1749999999999998</v>
      </c>
      <c r="I66" s="681">
        <f t="shared" si="3"/>
        <v>2</v>
      </c>
      <c r="J66" s="682" t="str">
        <f>IF(H66=0,"Not Calculated",IF(H66=F66,C66,IF(H66=[1]Toxicity!CA62,"Ceiling",IF(H66=[1]Toxicity!AY62,"PQL","Bckgrnd"))))</f>
        <v>CCC(SW)</v>
      </c>
      <c r="K66" s="62"/>
      <c r="M66" s="676"/>
    </row>
    <row r="67" spans="1:13" ht="14" x14ac:dyDescent="0.25">
      <c r="A67" s="540" t="s">
        <v>217</v>
      </c>
      <c r="B67" s="677">
        <f>'GW-3 SW Target'!AC67</f>
        <v>2.3E-3</v>
      </c>
      <c r="C67" s="678" t="str">
        <f t="shared" si="4"/>
        <v>CCC(SW)</v>
      </c>
      <c r="D67" s="679">
        <v>10</v>
      </c>
      <c r="E67" s="680">
        <f>IF((VLOOKUP(A67,[1]!TOX,62,FALSE))=0,2.5,IF((VLOOKUP(A67,[1]!TOX,62,FALSE))&lt;1000,2.5,IF((VLOOKUP(A67,[1]!TOX,62,FALSE))&lt;100000,25,100)))</f>
        <v>25</v>
      </c>
      <c r="F67" s="680">
        <f t="shared" si="5"/>
        <v>0.57499999999999996</v>
      </c>
      <c r="G67" s="680">
        <f>IF(F67&lt;&gt;0,MIN(F67,[1]Toxicity!CA63),[1]Toxicity!CA63)</f>
        <v>0.57499999999999996</v>
      </c>
      <c r="H67" s="620">
        <f>MAX(G67,[1]Toxicity!AY63,[1]Toxicity!AN63)</f>
        <v>5</v>
      </c>
      <c r="I67" s="681">
        <f t="shared" si="3"/>
        <v>5</v>
      </c>
      <c r="J67" s="682" t="str">
        <f>IF(H67=0,"Not Calculated",IF(H67=F67,C67,IF(H67=[1]Toxicity!CA63,"Ceiling",IF(H67=[1]Toxicity!AY63,"PQL","Bckgrnd"))))</f>
        <v>PQL</v>
      </c>
      <c r="K67" s="62"/>
      <c r="M67" s="676"/>
    </row>
    <row r="68" spans="1:13" ht="14" x14ac:dyDescent="0.25">
      <c r="A68" s="540" t="s">
        <v>218</v>
      </c>
      <c r="B68" s="677">
        <f>'GW-3 SW Target'!AC68</f>
        <v>181</v>
      </c>
      <c r="C68" s="678" t="str">
        <f t="shared" si="4"/>
        <v>acute EC50/10</v>
      </c>
      <c r="D68" s="679">
        <v>10</v>
      </c>
      <c r="E68" s="680">
        <f>IF((VLOOKUP(A68,[1]!TOX,62,FALSE))=0,2.5,IF((VLOOKUP(A68,[1]!TOX,62,FALSE))&lt;1000,2.5,IF((VLOOKUP(A68,[1]!TOX,62,FALSE))&lt;100000,25,100)))</f>
        <v>2.5</v>
      </c>
      <c r="F68" s="680">
        <f t="shared" si="5"/>
        <v>4525</v>
      </c>
      <c r="G68" s="680">
        <f>IF(F68&lt;&gt;0,MIN(F68,[1]Toxicity!CA64),[1]Toxicity!CA64)</f>
        <v>4525</v>
      </c>
      <c r="H68" s="620">
        <f>MAX(G68,[1]Toxicity!AY64,[1]Toxicity!AN64)</f>
        <v>4525</v>
      </c>
      <c r="I68" s="681">
        <f t="shared" si="3"/>
        <v>5000</v>
      </c>
      <c r="J68" s="682" t="str">
        <f>IF(H68=0,"Not Calculated",IF(H68=F68,C68,IF(H68=[1]Toxicity!CA64,"Ceiling",IF(H68=[1]Toxicity!AY64,"PQL","Bckgrnd"))))</f>
        <v>acute EC50/10</v>
      </c>
      <c r="K68" s="62"/>
      <c r="M68" s="676"/>
    </row>
    <row r="69" spans="1:13" ht="14" x14ac:dyDescent="0.25">
      <c r="A69" s="540" t="s">
        <v>283</v>
      </c>
      <c r="B69" s="677">
        <f>'GW-3 SW Target'!AC69</f>
        <v>9600</v>
      </c>
      <c r="C69" s="678" t="str">
        <f t="shared" si="4"/>
        <v>chronic LOEC</v>
      </c>
      <c r="D69" s="679">
        <v>10</v>
      </c>
      <c r="E69" s="680">
        <f>IF((VLOOKUP(A69,[1]!TOX,62,FALSE))=0,2.5,IF((VLOOKUP(A69,[1]!TOX,62,FALSE))&lt;1000,2.5,IF((VLOOKUP(A69,[1]!TOX,62,FALSE))&lt;100000,25,100)))</f>
        <v>2.5</v>
      </c>
      <c r="F69" s="680">
        <f t="shared" si="5"/>
        <v>240000</v>
      </c>
      <c r="G69" s="680">
        <f>IF(F69&lt;&gt;0,MIN(F69,[1]Toxicity!CA65),[1]Toxicity!CA65)</f>
        <v>50000</v>
      </c>
      <c r="H69" s="620">
        <f>MAX(G69,[1]Toxicity!AY65,[1]Toxicity!AN65)</f>
        <v>50000</v>
      </c>
      <c r="I69" s="681">
        <f t="shared" si="3"/>
        <v>50000</v>
      </c>
      <c r="J69" s="682" t="str">
        <f>IF(H69=0,"Not Calculated",IF(H69=F69,C69,IF(H69=[1]Toxicity!CA65,"Ceiling",IF(H69=[1]Toxicity!AY65,"PQL","Bckgrnd"))))</f>
        <v>Ceiling</v>
      </c>
      <c r="K69" s="62"/>
      <c r="M69" s="676"/>
    </row>
    <row r="70" spans="1:13" ht="14" x14ac:dyDescent="0.25">
      <c r="A70" s="540" t="s">
        <v>219</v>
      </c>
      <c r="B70" s="677">
        <f>'GW-3 SW Target'!AC70</f>
        <v>0.9</v>
      </c>
      <c r="C70" s="678" t="str">
        <f t="shared" si="4"/>
        <v xml:space="preserve">acute </v>
      </c>
      <c r="D70" s="679">
        <v>10</v>
      </c>
      <c r="E70" s="680">
        <f>IF((VLOOKUP(A70,[1]!TOX,62,FALSE))=0,2.5,IF((VLOOKUP(A70,[1]!TOX,62,FALSE))&lt;1000,2.5,IF((VLOOKUP(A70,[1]!TOX,62,FALSE))&lt;100000,25,100)))</f>
        <v>25</v>
      </c>
      <c r="F70" s="680">
        <f t="shared" si="5"/>
        <v>225</v>
      </c>
      <c r="G70" s="680">
        <f>IF(F70&lt;&gt;0,MIN(F70,[1]Toxicity!CA66),[1]Toxicity!CA66)</f>
        <v>225</v>
      </c>
      <c r="H70" s="620">
        <f>MAX(G70,[1]Toxicity!AY66,[1]Toxicity!AN66)</f>
        <v>225</v>
      </c>
      <c r="I70" s="681">
        <f t="shared" si="3"/>
        <v>200</v>
      </c>
      <c r="J70" s="682" t="str">
        <f>IF(H70=0,"Not Calculated",IF(H70=F70,C70,IF(H70=[1]Toxicity!CA66,"Ceiling",IF(H70=[1]Toxicity!AY66,"PQL","Bckgrnd"))))</f>
        <v xml:space="preserve">acute </v>
      </c>
      <c r="K70" s="62"/>
      <c r="M70" s="676"/>
    </row>
    <row r="71" spans="1:13" ht="14" x14ac:dyDescent="0.25">
      <c r="A71" s="540" t="s">
        <v>220</v>
      </c>
      <c r="B71" s="677">
        <f>'GW-3 SW Target'!AC71</f>
        <v>0.14000000000000001</v>
      </c>
      <c r="C71" s="678" t="str">
        <f t="shared" ref="C71:C106" si="6">(VLOOKUP(A71,SWTarget,30,FALSE))</f>
        <v>Median PAH phototox</v>
      </c>
      <c r="D71" s="679">
        <v>10</v>
      </c>
      <c r="E71" s="680">
        <f>IF((VLOOKUP(A71,[1]!TOX,62,FALSE))=0,2.5,IF((VLOOKUP(A71,[1]!TOX,62,FALSE))&lt;1000,2.5,IF((VLOOKUP(A71,[1]!TOX,62,FALSE))&lt;100000,25,100)))</f>
        <v>25</v>
      </c>
      <c r="F71" s="680">
        <f t="shared" ref="F71:F108" si="7">E71*D71*B71</f>
        <v>35</v>
      </c>
      <c r="G71" s="680">
        <f>IF(F71&lt;&gt;0,MIN(F71,[1]Toxicity!CA67),[1]Toxicity!CA67)</f>
        <v>35</v>
      </c>
      <c r="H71" s="620">
        <f>MAX(G71,[1]Toxicity!AY67,[1]Toxicity!AN67)</f>
        <v>35</v>
      </c>
      <c r="I71" s="681">
        <f t="shared" si="3"/>
        <v>40</v>
      </c>
      <c r="J71" s="682" t="str">
        <f>IF(H71=0,"Not Calculated",IF(H71=F71,C71,IF(H71=[1]Toxicity!CA67,"Ceiling",IF(H71=[1]Toxicity!AY67,"PQL","Bckgrnd"))))</f>
        <v>Median PAH phototox</v>
      </c>
      <c r="K71" s="62"/>
      <c r="M71" s="676"/>
    </row>
    <row r="72" spans="1:13" ht="14" x14ac:dyDescent="0.25">
      <c r="A72" s="540" t="s">
        <v>221</v>
      </c>
      <c r="B72" s="677">
        <f>'GW-3 SW Target'!AC72</f>
        <v>3.5999999999999999E-3</v>
      </c>
      <c r="C72" s="678" t="str">
        <f t="shared" si="6"/>
        <v>CCC(SW)</v>
      </c>
      <c r="D72" s="679">
        <v>10</v>
      </c>
      <c r="E72" s="680">
        <f>IF((VLOOKUP(A72,[1]!TOX,62,FALSE))=0,2.5,IF((VLOOKUP(A72,[1]!TOX,62,FALSE))&lt;1000,2.5,IF((VLOOKUP(A72,[1]!TOX,62,FALSE))&lt;100000,25,100)))</f>
        <v>25</v>
      </c>
      <c r="F72" s="680">
        <f t="shared" si="7"/>
        <v>0.9</v>
      </c>
      <c r="G72" s="680">
        <f>IF(F72&lt;&gt;0,MIN(F72,[1]Toxicity!CA68),[1]Toxicity!CA68)</f>
        <v>0.9</v>
      </c>
      <c r="H72" s="620">
        <f>MAX(G72,[1]Toxicity!AY68,[1]Toxicity!AN68)</f>
        <v>1</v>
      </c>
      <c r="I72" s="681">
        <f t="shared" ref="I72:I97" si="8">ROUND(H72,-INT(LOG10(ABS(H72))))</f>
        <v>1</v>
      </c>
      <c r="J72" s="682" t="str">
        <f>IF(H72=0,"Not Calculated",IF(H72=F72,C72,IF(H72=[1]Toxicity!CA68,"Ceiling",IF(H72=[1]Toxicity!AY68,"PQL","Bckgrnd"))))</f>
        <v>PQL</v>
      </c>
      <c r="K72" s="62"/>
      <c r="M72" s="676"/>
    </row>
    <row r="73" spans="1:13" ht="14" x14ac:dyDescent="0.25">
      <c r="A73" s="540" t="s">
        <v>222</v>
      </c>
      <c r="B73" s="677">
        <f>'GW-3 SW Target'!AC73</f>
        <v>3.5999999999999999E-3</v>
      </c>
      <c r="C73" s="678" t="str">
        <f t="shared" si="6"/>
        <v>CCC(SW)</v>
      </c>
      <c r="D73" s="679">
        <v>10</v>
      </c>
      <c r="E73" s="680">
        <f>IF((VLOOKUP(A73,[1]!TOX,62,FALSE))=0,2.5,IF((VLOOKUP(A73,[1]!TOX,62,FALSE))&lt;1000,2.5,IF((VLOOKUP(A73,[1]!TOX,62,FALSE))&lt;100000,25,100)))</f>
        <v>25</v>
      </c>
      <c r="F73" s="680">
        <f t="shared" si="7"/>
        <v>0.9</v>
      </c>
      <c r="G73" s="680">
        <f>IF(F73&lt;&gt;0,MIN(F73,[1]Toxicity!CA69),[1]Toxicity!CA69)</f>
        <v>0.9</v>
      </c>
      <c r="H73" s="620">
        <f>MAX(G73,[1]Toxicity!AY69,[1]Toxicity!AN69)</f>
        <v>1.5</v>
      </c>
      <c r="I73" s="681">
        <f t="shared" si="8"/>
        <v>2</v>
      </c>
      <c r="J73" s="682" t="str">
        <f>IF(H73=0,"Not Calculated",IF(H73=F73,C73,IF(H73=[1]Toxicity!CA69,"Ceiling",IF(H73=[1]Toxicity!AY69,"PQL","Bckgrnd"))))</f>
        <v>PQL</v>
      </c>
      <c r="K73" s="62"/>
      <c r="M73" s="676"/>
    </row>
    <row r="74" spans="1:13" ht="14" x14ac:dyDescent="0.25">
      <c r="A74" s="540" t="s">
        <v>223</v>
      </c>
      <c r="B74" s="677">
        <f>'GW-3 SW Target'!AC74</f>
        <v>23</v>
      </c>
      <c r="C74" s="678" t="str">
        <f t="shared" si="6"/>
        <v>chronic LOEC</v>
      </c>
      <c r="D74" s="679">
        <v>10</v>
      </c>
      <c r="E74" s="680">
        <f>IF((VLOOKUP(A74,[1]!TOX,62,FALSE))=0,2.5,IF((VLOOKUP(A74,[1]!TOX,62,FALSE))&lt;1000,2.5,IF((VLOOKUP(A74,[1]!TOX,62,FALSE))&lt;100000,25,100)))</f>
        <v>25</v>
      </c>
      <c r="F74" s="680">
        <f t="shared" si="7"/>
        <v>5750</v>
      </c>
      <c r="G74" s="680">
        <f>IF(F74&lt;&gt;0,MIN(F74,[1]Toxicity!CA70),[1]Toxicity!CA70)</f>
        <v>5750</v>
      </c>
      <c r="H74" s="620">
        <f>MAX(G74,[1]Toxicity!AY70,[1]Toxicity!AN70)</f>
        <v>5750</v>
      </c>
      <c r="I74" s="681">
        <f t="shared" si="8"/>
        <v>6000</v>
      </c>
      <c r="J74" s="682" t="str">
        <f>IF(H74=0,"Not Calculated",IF(H74=F74,C74,IF(H74=[1]Toxicity!CA70,"Ceiling",IF(H74=[1]Toxicity!AY70,"PQL","Bckgrnd"))))</f>
        <v>chronic LOEC</v>
      </c>
      <c r="K74" s="62"/>
      <c r="M74" s="676"/>
    </row>
    <row r="75" spans="1:13" ht="14" x14ac:dyDescent="0.25">
      <c r="A75" s="540" t="s">
        <v>224</v>
      </c>
      <c r="B75" s="677">
        <f>'GW-3 SW Target'!AC75</f>
        <v>13</v>
      </c>
      <c r="C75" s="678" t="str">
        <f t="shared" si="6"/>
        <v>chronic LOEC</v>
      </c>
      <c r="D75" s="679">
        <v>10</v>
      </c>
      <c r="E75" s="680">
        <f>IF((VLOOKUP(A75,[1]!TOX,62,FALSE))=0,2.5,IF((VLOOKUP(A75,[1]!TOX,62,FALSE))&lt;1000,2.5,IF((VLOOKUP(A75,[1]!TOX,62,FALSE))&lt;100000,25,100)))</f>
        <v>25</v>
      </c>
      <c r="F75" s="680">
        <f t="shared" si="7"/>
        <v>3250</v>
      </c>
      <c r="G75" s="680">
        <f>IF(F75&lt;&gt;0,MIN(F75,[1]Toxicity!CA71),[1]Toxicity!CA71)</f>
        <v>3250</v>
      </c>
      <c r="H75" s="620">
        <f>MAX(G75,[1]Toxicity!AY71,[1]Toxicity!AN71)</f>
        <v>3250</v>
      </c>
      <c r="I75" s="681">
        <f t="shared" si="8"/>
        <v>3000</v>
      </c>
      <c r="J75" s="682" t="str">
        <f>IF(H75=0,"Not Calculated",IF(H75=F75,C75,IF(H75=[1]Toxicity!CA71,"Ceiling",IF(H75=[1]Toxicity!AY71,"PQL","Bckgrnd"))))</f>
        <v>chronic LOEC</v>
      </c>
      <c r="K75" s="62"/>
      <c r="M75" s="676"/>
    </row>
    <row r="76" spans="1:13" ht="20" x14ac:dyDescent="0.25">
      <c r="A76" s="510" t="s">
        <v>225</v>
      </c>
      <c r="B76" s="677">
        <f>'GW-3 SW Target'!AC76</f>
        <v>1.6E-2</v>
      </c>
      <c r="C76" s="678" t="str">
        <f t="shared" si="6"/>
        <v>CMC(SW)/10</v>
      </c>
      <c r="D76" s="679">
        <v>10</v>
      </c>
      <c r="E76" s="680">
        <f>IF((VLOOKUP(A76,[1]!TOX,62,FALSE))=0,2.5,IF((VLOOKUP(A76,[1]!TOX,62,FALSE))&lt;1000,2.5,IF((VLOOKUP(A76,[1]!TOX,62,FALSE))&lt;100000,25,100)))</f>
        <v>25</v>
      </c>
      <c r="F76" s="680">
        <f t="shared" si="7"/>
        <v>4</v>
      </c>
      <c r="G76" s="680">
        <f>IF(F76&lt;&gt;0,MIN(F76,[1]Toxicity!CA72),[1]Toxicity!CA72)</f>
        <v>4</v>
      </c>
      <c r="H76" s="620">
        <f>MAX(G76,[1]Toxicity!AY72,[1]Toxicity!AN72)</f>
        <v>4</v>
      </c>
      <c r="I76" s="681">
        <f t="shared" si="8"/>
        <v>4</v>
      </c>
      <c r="J76" s="682" t="str">
        <f>IF(H76=0,"Not Calculated",IF(H76=F76,C76,IF(H76=[1]Toxicity!CA72,"Ceiling",IF(H76=[1]Toxicity!AY72,"PQL","Bckgrnd"))))</f>
        <v>CMC(SW)/10</v>
      </c>
      <c r="K76" s="62"/>
      <c r="M76" s="676"/>
    </row>
    <row r="77" spans="1:13" ht="14" x14ac:dyDescent="0.25">
      <c r="A77" s="540" t="s">
        <v>226</v>
      </c>
      <c r="B77" s="677">
        <f>'GW-3 SW Target'!AC77</f>
        <v>210</v>
      </c>
      <c r="C77" s="678" t="str">
        <f t="shared" si="6"/>
        <v>chronic LOEC</v>
      </c>
      <c r="D77" s="679">
        <v>10</v>
      </c>
      <c r="E77" s="680">
        <f>IF((VLOOKUP(A77,[1]!TOX,62,FALSE))=0,2.5,IF((VLOOKUP(A77,[1]!TOX,62,FALSE))&lt;1000,2.5,IF((VLOOKUP(A77,[1]!TOX,62,FALSE))&lt;100000,25,100)))</f>
        <v>25</v>
      </c>
      <c r="F77" s="680">
        <f t="shared" si="7"/>
        <v>52500</v>
      </c>
      <c r="G77" s="680">
        <f>IF(F77&lt;&gt;0,MIN(F77,[1]Toxicity!CA73),[1]Toxicity!CA73)</f>
        <v>50000</v>
      </c>
      <c r="H77" s="620">
        <f>MAX(G77,[1]Toxicity!AY73,[1]Toxicity!AN73)</f>
        <v>50000</v>
      </c>
      <c r="I77" s="681">
        <f t="shared" si="8"/>
        <v>50000</v>
      </c>
      <c r="J77" s="682" t="str">
        <f>IF(H77=0,"Not Calculated",IF(H77=F77,C77,IF(H77=[1]Toxicity!CA73,"Ceiling",IF(H77=[1]Toxicity!AY73,"PQL","Bckgrnd"))))</f>
        <v>Ceiling</v>
      </c>
      <c r="K77" s="62"/>
      <c r="M77" s="676"/>
    </row>
    <row r="78" spans="1:13" ht="14" x14ac:dyDescent="0.25">
      <c r="A78" s="540" t="s">
        <v>432</v>
      </c>
      <c r="B78" s="677">
        <f>'GW-3 SW Target'!AC78</f>
        <v>3900</v>
      </c>
      <c r="C78" s="678" t="str">
        <f t="shared" si="6"/>
        <v>chronic NOEC</v>
      </c>
      <c r="D78" s="679">
        <v>10</v>
      </c>
      <c r="E78" s="680">
        <f>IF((VLOOKUP(A78,[1]!TOX,62,FALSE))=0,2.5,IF((VLOOKUP(A78,[1]!TOX,62,FALSE))&lt;1000,2.5,IF((VLOOKUP(A78,[1]!TOX,62,FALSE))&lt;100000,25,100)))</f>
        <v>2.5</v>
      </c>
      <c r="F78" s="680">
        <f t="shared" si="7"/>
        <v>97500</v>
      </c>
      <c r="G78" s="680">
        <f>IF(F78&lt;&gt;0,MIN(F78,[1]Toxicity!CA74),[1]Toxicity!CA74)</f>
        <v>50000</v>
      </c>
      <c r="H78" s="620">
        <f>MAX(G78,[1]PQLs!C78,[1]Toxicity!AN74)</f>
        <v>50000</v>
      </c>
      <c r="I78" s="681">
        <f t="shared" si="8"/>
        <v>50000</v>
      </c>
      <c r="J78" s="682" t="str">
        <f>IF(H78=0,"Not Calculated",IF(H78=F78,C78,IF(H78=[1]Toxicity!CA74,"Ceiling",IF(H78=[1]PQLs!C78,"PQL","Bckgrnd"))))</f>
        <v>Ceiling</v>
      </c>
      <c r="K78" s="62"/>
      <c r="M78" s="676"/>
    </row>
    <row r="79" spans="1:13" ht="14" x14ac:dyDescent="0.25">
      <c r="A79" s="540" t="s">
        <v>227</v>
      </c>
      <c r="B79" s="677">
        <f>'GW-3 SW Target'!AC79</f>
        <v>0.14000000000000001</v>
      </c>
      <c r="C79" s="678" t="str">
        <f t="shared" si="6"/>
        <v>Median PAH phototox</v>
      </c>
      <c r="D79" s="679">
        <v>10</v>
      </c>
      <c r="E79" s="680">
        <f>IF((VLOOKUP(A79,[1]!TOX,62,FALSE))=0,2.5,IF((VLOOKUP(A79,[1]!TOX,62,FALSE))&lt;1000,2.5,IF((VLOOKUP(A79,[1]!TOX,62,FALSE))&lt;100000,25,100)))</f>
        <v>100</v>
      </c>
      <c r="F79" s="680">
        <f t="shared" si="7"/>
        <v>140</v>
      </c>
      <c r="G79" s="680">
        <f>IF(F79&lt;&gt;0,MIN(F79,[1]Toxicity!CA75),[1]Toxicity!CA75)</f>
        <v>140</v>
      </c>
      <c r="H79" s="620">
        <f>MAX(G79,[1]Toxicity!AY75,[1]Toxicity!AN75)</f>
        <v>140</v>
      </c>
      <c r="I79" s="681">
        <f t="shared" si="8"/>
        <v>100</v>
      </c>
      <c r="J79" s="682" t="str">
        <f>IF(H79=0,"Not Calculated",IF(H79=F79,C79,IF(H79=[1]Toxicity!CA75,"Ceiling",IF(H79=[1]Toxicity!AY75,"PQL","Bckgrnd"))))</f>
        <v>Median PAH phototox</v>
      </c>
      <c r="K79" s="62"/>
      <c r="M79" s="676"/>
    </row>
    <row r="80" spans="1:13" ht="14" x14ac:dyDescent="0.25">
      <c r="A80" s="540" t="s">
        <v>228</v>
      </c>
      <c r="B80" s="677">
        <f>'GW-3 SW Target'!AC80</f>
        <v>0.54</v>
      </c>
      <c r="C80" s="678" t="str">
        <f t="shared" si="6"/>
        <v>CCC(FW)</v>
      </c>
      <c r="D80" s="679">
        <v>10</v>
      </c>
      <c r="E80" s="680">
        <f>IF((VLOOKUP(A80,[1]!TOX,62,FALSE))=0,2.5,IF((VLOOKUP(A80,[1]!TOX,62,FALSE))&lt;1000,2.5,IF((VLOOKUP(A80,[1]!TOX,62,FALSE))&lt;100000,25,100)))</f>
        <v>2.5</v>
      </c>
      <c r="F80" s="680">
        <f t="shared" si="7"/>
        <v>13.5</v>
      </c>
      <c r="G80" s="680">
        <f>IF(F80&lt;&gt;0,MIN(F80,[1]Toxicity!CA76),[1]Toxicity!CA76)</f>
        <v>13.5</v>
      </c>
      <c r="H80" s="620">
        <f>MAX(G80,[1]Toxicity!AY76,[1]Toxicity!AN76)</f>
        <v>13.5</v>
      </c>
      <c r="I80" s="681">
        <f t="shared" si="8"/>
        <v>10</v>
      </c>
      <c r="J80" s="682" t="str">
        <f>IF(H80=0,"Not Calculated",IF(H80=F80,C80,IF(H80=[1]Toxicity!CA76,"Ceiling",IF(H80=[1]Toxicity!AY76,"PQL","Bckgrnd"))))</f>
        <v>CCC(FW)</v>
      </c>
      <c r="K80" s="62"/>
      <c r="M80" s="676"/>
    </row>
    <row r="81" spans="1:13" ht="14" x14ac:dyDescent="0.25">
      <c r="A81" s="540" t="s">
        <v>229</v>
      </c>
      <c r="B81" s="677">
        <f>'GW-3 SW Target'!AC81</f>
        <v>0.77</v>
      </c>
      <c r="C81" s="678" t="str">
        <f t="shared" si="6"/>
        <v>CCC(FW)</v>
      </c>
      <c r="D81" s="679">
        <v>10</v>
      </c>
      <c r="E81" s="680">
        <f>IF((VLOOKUP(A81,[1]!TOX,62,FALSE))=0,2.5,IF((VLOOKUP(A81,[1]!TOX,62,FALSE))&lt;1000,2.5,IF((VLOOKUP(A81,[1]!TOX,62,FALSE))&lt;100000,25,100)))</f>
        <v>2.5</v>
      </c>
      <c r="F81" s="680">
        <f t="shared" si="7"/>
        <v>19.25</v>
      </c>
      <c r="G81" s="680">
        <f>IF(F81&lt;&gt;0,MIN(F81,[1]Toxicity!CA77),[1]Toxicity!CA77)</f>
        <v>19.25</v>
      </c>
      <c r="H81" s="620">
        <f>MAX(G81,[1]Toxicity!AY77,[1]Toxicity!AN77)</f>
        <v>19.25</v>
      </c>
      <c r="I81" s="681">
        <f t="shared" si="8"/>
        <v>20</v>
      </c>
      <c r="J81" s="682" t="str">
        <f>IF(H81=0,"Not Calculated",IF(H81=F81,C81,IF(H81=[1]Toxicity!CA77,"Ceiling",IF(H81=[1]Toxicity!AY77,"PQL","Bckgrnd"))))</f>
        <v>CCC(FW)</v>
      </c>
      <c r="K81" s="62"/>
      <c r="M81" s="676"/>
    </row>
    <row r="82" spans="1:13" ht="14" x14ac:dyDescent="0.25">
      <c r="A82" s="540" t="s">
        <v>230</v>
      </c>
      <c r="B82" s="677">
        <f>'GW-3 SW Target'!AC82</f>
        <v>0.05</v>
      </c>
      <c r="C82" s="678" t="str">
        <f t="shared" si="6"/>
        <v>chronic LOEC</v>
      </c>
      <c r="D82" s="679">
        <v>10</v>
      </c>
      <c r="E82" s="680">
        <f>IF((VLOOKUP(A82,[1]!TOX,62,FALSE))=0,2.5,IF((VLOOKUP(A82,[1]!TOX,62,FALSE))&lt;1000,2.5,IF((VLOOKUP(A82,[1]!TOX,62,FALSE))&lt;100000,25,100)))</f>
        <v>25</v>
      </c>
      <c r="F82" s="680">
        <f t="shared" si="7"/>
        <v>12.5</v>
      </c>
      <c r="G82" s="680">
        <f>IF(F82&lt;&gt;0,MIN(F82,[1]Toxicity!CA78),[1]Toxicity!CA78)</f>
        <v>12.5</v>
      </c>
      <c r="H82" s="620">
        <f>MAX(G82,[1]Toxicity!AY78,[1]Toxicity!AN78)</f>
        <v>12.5</v>
      </c>
      <c r="I82" s="681">
        <f t="shared" si="8"/>
        <v>10</v>
      </c>
      <c r="J82" s="682" t="str">
        <f>IF(H82=0,"Not Calculated",IF(H82=F82,C82,IF(H82=[1]Toxicity!CA78,"Ceiling",IF(H82=[1]Toxicity!AY78,"PQL","Bckgrnd"))))</f>
        <v>chronic LOEC</v>
      </c>
      <c r="K82" s="62"/>
      <c r="M82" s="676"/>
    </row>
    <row r="83" spans="1:13" ht="14" x14ac:dyDescent="0.25">
      <c r="A83" s="540" t="s">
        <v>231</v>
      </c>
      <c r="B83" s="677">
        <f>'GW-3 SW Target'!AC83</f>
        <v>200000</v>
      </c>
      <c r="C83" s="678" t="str">
        <f t="shared" si="6"/>
        <v>acute LC50/10</v>
      </c>
      <c r="D83" s="679">
        <v>10</v>
      </c>
      <c r="E83" s="680">
        <f>IF((VLOOKUP(A83,[1]!TOX,62,FALSE))=0,2.5,IF((VLOOKUP(A83,[1]!TOX,62,FALSE))&lt;1000,2.5,IF((VLOOKUP(A83,[1]!TOX,62,FALSE))&lt;100000,25,100)))</f>
        <v>2.5</v>
      </c>
      <c r="F83" s="680">
        <f t="shared" si="7"/>
        <v>5000000</v>
      </c>
      <c r="G83" s="680">
        <f>IF(F83&lt;&gt;0,MIN(F83,[1]Toxicity!CA79),[1]Toxicity!CA79)</f>
        <v>50000</v>
      </c>
      <c r="H83" s="620">
        <f>MAX(G83,[1]Toxicity!AY79,[1]Toxicity!AN79)</f>
        <v>50000</v>
      </c>
      <c r="I83" s="681">
        <f t="shared" si="8"/>
        <v>50000</v>
      </c>
      <c r="J83" s="682" t="str">
        <f>IF(H83=0,"Not Calculated",IF(H83=F83,C83,IF(H83=[1]Toxicity!CA79,"Ceiling",IF(H83=[1]Toxicity!AY79,"PQL","Bckgrnd"))))</f>
        <v>Ceiling</v>
      </c>
      <c r="K83" s="62"/>
      <c r="M83" s="676"/>
    </row>
    <row r="84" spans="1:13" ht="14" x14ac:dyDescent="0.25">
      <c r="A84" s="540" t="s">
        <v>232</v>
      </c>
      <c r="B84" s="677">
        <f>'GW-3 SW Target'!AC84</f>
        <v>156000</v>
      </c>
      <c r="C84" s="678" t="str">
        <f t="shared" si="6"/>
        <v>chronic NOEC</v>
      </c>
      <c r="D84" s="679">
        <v>10</v>
      </c>
      <c r="E84" s="680">
        <f>IF((VLOOKUP(A84,[1]!TOX,62,FALSE))=0,2.5,IF((VLOOKUP(A84,[1]!TOX,62,FALSE))&lt;1000,2.5,IF((VLOOKUP(A84,[1]!TOX,62,FALSE))&lt;100000,25,100)))</f>
        <v>2.5</v>
      </c>
      <c r="F84" s="680">
        <f t="shared" si="7"/>
        <v>3900000</v>
      </c>
      <c r="G84" s="680">
        <f>IF(F84&lt;&gt;0,MIN(F84,[1]Toxicity!CA80),[1]Toxicity!CA80)</f>
        <v>50000</v>
      </c>
      <c r="H84" s="620">
        <f>MAX(G84,[1]Toxicity!AY80,[1]Toxicity!AN80)</f>
        <v>50000</v>
      </c>
      <c r="I84" s="681">
        <f t="shared" si="8"/>
        <v>50000</v>
      </c>
      <c r="J84" s="682" t="str">
        <f>IF(H84=0,"Not Calculated",IF(H84=F84,C84,IF(H84=[1]Toxicity!CA80,"Ceiling",IF(H84=[1]Toxicity!AY80,"PQL","Bckgrnd"))))</f>
        <v>Ceiling</v>
      </c>
      <c r="K84" s="62"/>
      <c r="M84" s="676"/>
    </row>
    <row r="85" spans="1:13" ht="14" x14ac:dyDescent="0.25">
      <c r="A85" s="540" t="s">
        <v>233</v>
      </c>
      <c r="B85" s="677">
        <f>'GW-3 SW Target'!AC85</f>
        <v>0.77</v>
      </c>
      <c r="C85" s="678" t="str">
        <f t="shared" si="6"/>
        <v>CCC(FW)</v>
      </c>
      <c r="D85" s="679">
        <v>10</v>
      </c>
      <c r="E85" s="680">
        <f>IF((VLOOKUP(A85,[1]!TOX,62,FALSE))=0,2.5,IF((VLOOKUP(A85,[1]!TOX,62,FALSE))&lt;1000,2.5,IF((VLOOKUP(A85,[1]!TOX,62,FALSE))&lt;100000,25,100)))</f>
        <v>2.5</v>
      </c>
      <c r="F85" s="680">
        <f t="shared" si="7"/>
        <v>19.25</v>
      </c>
      <c r="G85" s="680">
        <f>IF(F85&lt;&gt;0,MIN(F85,[1]Toxicity!CA81),[1]Toxicity!CA81)</f>
        <v>19.25</v>
      </c>
      <c r="H85" s="620">
        <f>MAX(G85,[1]Toxicity!AY81,[1]Toxicity!AN81)</f>
        <v>19.25</v>
      </c>
      <c r="I85" s="681">
        <f t="shared" si="8"/>
        <v>20</v>
      </c>
      <c r="J85" s="682" t="str">
        <f>IF(H85=0,"Not Calculated",IF(H85=F85,C85,IF(H85=[1]Toxicity!CA81,"Ceiling",IF(H85=[1]Toxicity!AY81,"PQL","Bckgrnd"))))</f>
        <v>CCC(FW)</v>
      </c>
      <c r="K85" s="62"/>
      <c r="M85" s="676"/>
    </row>
    <row r="86" spans="1:13" ht="14" x14ac:dyDescent="0.25">
      <c r="A86" s="540" t="s">
        <v>234</v>
      </c>
      <c r="B86" s="677">
        <f>'GW-3 SW Target'!AC86</f>
        <v>100000</v>
      </c>
      <c r="C86" s="678" t="str">
        <f t="shared" si="6"/>
        <v>chronic LOEC</v>
      </c>
      <c r="D86" s="679">
        <v>10</v>
      </c>
      <c r="E86" s="680">
        <f>IF((VLOOKUP(A86,[1]!TOX,62,FALSE))=0,2.5,IF((VLOOKUP(A86,[1]!TOX,62,FALSE))&lt;1000,2.5,IF((VLOOKUP(A86,[1]!TOX,62,FALSE))&lt;100000,25,100)))</f>
        <v>2.5</v>
      </c>
      <c r="F86" s="680">
        <f t="shared" si="7"/>
        <v>2500000</v>
      </c>
      <c r="G86" s="680">
        <f>IF(F86&lt;&gt;0,MIN(F86,[1]Toxicity!CA82),[1]Toxicity!CA82)</f>
        <v>50000</v>
      </c>
      <c r="H86" s="620">
        <f>MAX(G86,[1]Toxicity!AY82,[1]Toxicity!AN82)</f>
        <v>50000</v>
      </c>
      <c r="I86" s="681">
        <f t="shared" si="8"/>
        <v>50000</v>
      </c>
      <c r="J86" s="682" t="str">
        <f>IF(H86=0,"Not Calculated",IF(H86=F86,C86,IF(H86=[1]Toxicity!CA82,"Ceiling",IF(H86=[1]Toxicity!AY82,"PQL","Bckgrnd"))))</f>
        <v>Ceiling</v>
      </c>
      <c r="K86" s="62"/>
      <c r="M86" s="676"/>
    </row>
    <row r="87" spans="1:13" ht="14" x14ac:dyDescent="0.25">
      <c r="A87" s="540" t="s">
        <v>235</v>
      </c>
      <c r="B87" s="677">
        <f>'GW-3 SW Target'!AC87</f>
        <v>70</v>
      </c>
      <c r="C87" s="678" t="str">
        <f t="shared" si="6"/>
        <v>acute LC50/10</v>
      </c>
      <c r="D87" s="679">
        <v>10</v>
      </c>
      <c r="E87" s="680">
        <f>IF((VLOOKUP(A87,[1]!TOX,62,FALSE))=0,2.5,IF((VLOOKUP(A87,[1]!TOX,62,FALSE))&lt;1000,2.5,IF((VLOOKUP(A87,[1]!TOX,62,FALSE))&lt;100000,25,100)))</f>
        <v>25</v>
      </c>
      <c r="F87" s="680">
        <f t="shared" si="7"/>
        <v>17500</v>
      </c>
      <c r="G87" s="680">
        <f>IF(F87&lt;&gt;0,MIN(F87,[1]Toxicity!CA83),[1]Toxicity!CA83)</f>
        <v>17500</v>
      </c>
      <c r="H87" s="620">
        <f>MAX(G87,[1]Toxicity!AY83,[1]Toxicity!AN83)</f>
        <v>17500</v>
      </c>
      <c r="I87" s="681">
        <f t="shared" si="8"/>
        <v>20000</v>
      </c>
      <c r="J87" s="682" t="str">
        <f>IF(H87=0,"Not Calculated",IF(H87=F87,C87,IF(H87=[1]Toxicity!CA83,"Ceiling",IF(H87=[1]Toxicity!AY83,"PQL","Bckgrnd"))))</f>
        <v>acute LC50/10</v>
      </c>
      <c r="K87" s="62"/>
      <c r="M87" s="676"/>
    </row>
    <row r="88" spans="1:13" ht="14" x14ac:dyDescent="0.25">
      <c r="A88" s="540" t="s">
        <v>236</v>
      </c>
      <c r="B88" s="677">
        <f>'GW-3 SW Target'!AC88</f>
        <v>72</v>
      </c>
      <c r="C88" s="678" t="str">
        <f t="shared" si="6"/>
        <v>chronic LOEC</v>
      </c>
      <c r="D88" s="679">
        <v>10</v>
      </c>
      <c r="E88" s="680">
        <f>IF((VLOOKUP(A88,[1]!TOX,62,FALSE))=0,2.5,IF((VLOOKUP(A88,[1]!TOX,62,FALSE))&lt;1000,2.5,IF((VLOOKUP(A88,[1]!TOX,62,FALSE))&lt;100000,25,100)))</f>
        <v>25</v>
      </c>
      <c r="F88" s="680">
        <f t="shared" si="7"/>
        <v>18000</v>
      </c>
      <c r="G88" s="680">
        <f>IF(F88&lt;&gt;0,MIN(F88,[1]Toxicity!CA84),[1]Toxicity!CA84)</f>
        <v>18000</v>
      </c>
      <c r="H88" s="620">
        <f>MAX(G88,[1]Toxicity!AY84,[1]Toxicity!AN84)</f>
        <v>18000</v>
      </c>
      <c r="I88" s="681">
        <f t="shared" si="8"/>
        <v>20000</v>
      </c>
      <c r="J88" s="682" t="str">
        <f>IF(H88=0,"Not Calculated",IF(H88=F88,C88,IF(H88=[1]Toxicity!CA84,"Ceiling",IF(H88=[1]Toxicity!AY84,"PQL","Bckgrnd"))))</f>
        <v>chronic LOEC</v>
      </c>
      <c r="K88" s="62"/>
      <c r="M88" s="676"/>
    </row>
    <row r="89" spans="1:13" ht="14" x14ac:dyDescent="0.25">
      <c r="A89" s="540" t="s">
        <v>237</v>
      </c>
      <c r="B89" s="677">
        <f>'GW-3 SW Target'!AC89</f>
        <v>8.1999999999999993</v>
      </c>
      <c r="C89" s="678" t="str">
        <f t="shared" si="6"/>
        <v>CCC(SW)</v>
      </c>
      <c r="D89" s="679">
        <v>10</v>
      </c>
      <c r="E89" s="680">
        <f>IF((VLOOKUP(A89,[1]!TOX,62,FALSE))=0,2.5,IF((VLOOKUP(A89,[1]!TOX,62,FALSE))&lt;1000,2.5,IF((VLOOKUP(A89,[1]!TOX,62,FALSE))&lt;100000,25,100)))</f>
        <v>2.5</v>
      </c>
      <c r="F89" s="680">
        <f t="shared" si="7"/>
        <v>204.99999999999997</v>
      </c>
      <c r="G89" s="680">
        <f>IF(F89&lt;&gt;0,MIN(F89,[1]Toxicity!CA85),[1]Toxicity!CA85)</f>
        <v>204.99999999999997</v>
      </c>
      <c r="H89" s="620">
        <f>MAX(G89,[1]Toxicity!AY85,[1]Toxicity!AN85)</f>
        <v>204.99999999999997</v>
      </c>
      <c r="I89" s="681">
        <f t="shared" si="8"/>
        <v>200</v>
      </c>
      <c r="J89" s="682" t="str">
        <f>IF(H89=0,"Not Calculated",IF(H89=F89,C89,IF(H89=[1]Toxicity!CA85,"Ceiling",IF(H89=[1]Toxicity!AY85,"PQL","Bckgrnd"))))</f>
        <v>CCC(SW)</v>
      </c>
      <c r="K89" s="62"/>
      <c r="M89" s="676"/>
    </row>
    <row r="90" spans="1:13" ht="14" x14ac:dyDescent="0.25">
      <c r="A90" s="540" t="s">
        <v>238</v>
      </c>
      <c r="B90" s="677">
        <f>'GW-3 SW Target'!AC90</f>
        <v>7.9</v>
      </c>
      <c r="C90" s="678" t="str">
        <f t="shared" si="6"/>
        <v>CCC(SW)</v>
      </c>
      <c r="D90" s="679">
        <v>10</v>
      </c>
      <c r="E90" s="680">
        <f>IF((VLOOKUP(A90,[1]!TOX,62,FALSE))=0,2.5,IF((VLOOKUP(A90,[1]!TOX,62,FALSE))&lt;1000,2.5,IF((VLOOKUP(A90,[1]!TOX,62,FALSE))&lt;100000,25,100)))</f>
        <v>2.5</v>
      </c>
      <c r="F90" s="680">
        <f t="shared" si="7"/>
        <v>197.5</v>
      </c>
      <c r="G90" s="680">
        <f>IF(F90&lt;&gt;0,MIN(F90,[1]Toxicity!CA86),[1]Toxicity!CA86)</f>
        <v>197.5</v>
      </c>
      <c r="H90" s="620">
        <f>MAX(G90,[1]Toxicity!AY86,[1]Toxicity!AN86)</f>
        <v>197.5</v>
      </c>
      <c r="I90" s="681">
        <f t="shared" si="8"/>
        <v>200</v>
      </c>
      <c r="J90" s="682" t="str">
        <f>IF(H90=0,"Not Calculated",IF(H90=F90,C90,IF(H90=[1]Toxicity!CA86,"Ceiling",IF(H90=[1]Toxicity!AY86,"PQL","Bckgrnd"))))</f>
        <v>CCC(SW)</v>
      </c>
      <c r="K90" s="62"/>
      <c r="M90" s="676"/>
    </row>
    <row r="91" spans="1:13" ht="20" x14ac:dyDescent="0.25">
      <c r="A91" s="579" t="s">
        <v>940</v>
      </c>
      <c r="B91" s="677">
        <f>'GW-3 SW Target'!AC91</f>
        <v>0</v>
      </c>
      <c r="C91" s="678"/>
      <c r="D91" s="679"/>
      <c r="E91" s="680"/>
      <c r="F91" s="680"/>
      <c r="G91" s="680"/>
      <c r="H91" s="620"/>
      <c r="I91" s="681" t="s">
        <v>941</v>
      </c>
      <c r="J91" s="682"/>
      <c r="K91" s="62"/>
      <c r="M91" s="676"/>
    </row>
    <row r="92" spans="1:13" ht="14" x14ac:dyDescent="0.25">
      <c r="A92" s="579" t="s">
        <v>949</v>
      </c>
      <c r="B92" s="677">
        <f>'GW-3 SW Target'!AC92</f>
        <v>1705</v>
      </c>
      <c r="C92" s="678" t="str">
        <f t="shared" si="6"/>
        <v>MN SW Qual Criterion</v>
      </c>
      <c r="D92" s="679">
        <v>10</v>
      </c>
      <c r="E92" s="680">
        <v>2.5</v>
      </c>
      <c r="F92" s="680">
        <f t="shared" ref="F92:F97" si="9">E92*D92*B92</f>
        <v>42625</v>
      </c>
      <c r="G92" s="680">
        <f>IF(F92&lt;&gt;0,MIN(F92,[1]Toxicity!CA88),[1]Toxicity!CA88)</f>
        <v>42625</v>
      </c>
      <c r="H92" s="620">
        <f>MAX(G92,[1]Toxicity!AY88,[1]Toxicity!AN88)</f>
        <v>42625</v>
      </c>
      <c r="I92" s="681">
        <f t="shared" si="8"/>
        <v>40000</v>
      </c>
      <c r="J92" s="682" t="str">
        <f>IF(H92=0,"Not Calculated",IF(H92=F92,C92,IF(H92=[1]Toxicity!CA88,"Ceiling",IF(H92=[1]Toxicity!AY88,"PQL","Bckgrnd"))))</f>
        <v>MN SW Qual Criterion</v>
      </c>
      <c r="K92" s="62"/>
      <c r="M92" s="676"/>
    </row>
    <row r="93" spans="1:13" ht="14" x14ac:dyDescent="0.25">
      <c r="A93" s="540" t="s">
        <v>891</v>
      </c>
      <c r="B93" s="677">
        <f>'GW-3 SW Target'!AC93</f>
        <v>1705</v>
      </c>
      <c r="C93" s="678" t="str">
        <f t="shared" si="6"/>
        <v>MN SW Qual Criterion</v>
      </c>
      <c r="D93" s="679">
        <v>10</v>
      </c>
      <c r="E93" s="680">
        <v>2.5</v>
      </c>
      <c r="F93" s="680">
        <f t="shared" si="9"/>
        <v>42625</v>
      </c>
      <c r="G93" s="680">
        <f>IF(F93&lt;&gt;0,MIN(F93,[1]Toxicity!CA89),[1]Toxicity!CA89)</f>
        <v>42625</v>
      </c>
      <c r="H93" s="620">
        <f>MAX(G93,[1]Toxicity!AY89,[1]Toxicity!AN89)</f>
        <v>42625</v>
      </c>
      <c r="I93" s="681">
        <f t="shared" si="8"/>
        <v>40000</v>
      </c>
      <c r="J93" s="682" t="str">
        <f>IF(H93=0,"Not Calculated",IF(H93=F93,C93,IF(H93=[1]Toxicity!CA89,"Ceiling",IF(H93=[1]Toxicity!AY89,"PQL","Bckgrnd"))))</f>
        <v>MN SW Qual Criterion</v>
      </c>
      <c r="K93" s="62"/>
      <c r="M93" s="676"/>
    </row>
    <row r="94" spans="1:13" ht="23" x14ac:dyDescent="0.25">
      <c r="A94" s="540" t="s">
        <v>892</v>
      </c>
      <c r="B94" s="677">
        <f>'GW-3 SW Target'!AC94</f>
        <v>19</v>
      </c>
      <c r="C94" s="678" t="str">
        <f t="shared" si="6"/>
        <v>MN SW Qual Criterion</v>
      </c>
      <c r="D94" s="679">
        <v>10</v>
      </c>
      <c r="E94" s="680">
        <v>2.5</v>
      </c>
      <c r="F94" s="680">
        <f t="shared" si="9"/>
        <v>475</v>
      </c>
      <c r="G94" s="680">
        <f>IF(F94&lt;&gt;0,MIN(F94,[1]Toxicity!CA90),[1]Toxicity!CA90)</f>
        <v>475</v>
      </c>
      <c r="H94" s="620">
        <f>MAX(G94,[1]Toxicity!AY90,[1]Toxicity!AN90)</f>
        <v>475</v>
      </c>
      <c r="I94" s="681">
        <f t="shared" si="8"/>
        <v>500</v>
      </c>
      <c r="J94" s="682" t="str">
        <f>IF(H94=0,"Not Calculated",IF(H94=F94,C94,IF(H94=[1]Toxicity!CA90,"Ceiling",IF(H94=[1]Toxicity!AY90,"PQL","Bckgrnd"))))</f>
        <v>MN SW Qual Criterion</v>
      </c>
      <c r="K94" s="62"/>
      <c r="M94" s="676"/>
    </row>
    <row r="95" spans="1:13" ht="14" x14ac:dyDescent="0.25">
      <c r="A95" s="540" t="s">
        <v>890</v>
      </c>
      <c r="B95" s="677">
        <f>'GW-3 SW Target'!AC95</f>
        <v>1705</v>
      </c>
      <c r="C95" s="678" t="str">
        <f t="shared" si="6"/>
        <v>MN SW Qual Criterion</v>
      </c>
      <c r="D95" s="679">
        <v>10</v>
      </c>
      <c r="E95" s="680">
        <v>2.5</v>
      </c>
      <c r="F95" s="680">
        <f t="shared" si="9"/>
        <v>42625</v>
      </c>
      <c r="G95" s="680">
        <f>IF(F95&lt;&gt;0,MIN(F95,[1]Toxicity!CA91),[1]Toxicity!CA91)</f>
        <v>42625</v>
      </c>
      <c r="H95" s="620">
        <f>MAX(G95,[1]Toxicity!AY91,[1]Toxicity!AN91)</f>
        <v>42625</v>
      </c>
      <c r="I95" s="681">
        <f t="shared" si="8"/>
        <v>40000</v>
      </c>
      <c r="J95" s="682" t="str">
        <f>IF(H95=0,"Not Calculated",IF(H95=F95,C95,IF(H95=[1]Toxicity!CA91,"Ceiling",IF(H95=[1]Toxicity!AY91,"PQL","Bckgrnd"))))</f>
        <v>MN SW Qual Criterion</v>
      </c>
      <c r="K95" s="62"/>
      <c r="M95" s="676"/>
    </row>
    <row r="96" spans="1:13" ht="14" x14ac:dyDescent="0.25">
      <c r="A96" s="540" t="s">
        <v>927</v>
      </c>
      <c r="B96" s="677">
        <f>'GW-3 SW Target'!AC96</f>
        <v>19</v>
      </c>
      <c r="C96" s="678" t="str">
        <f t="shared" si="6"/>
        <v>MN SW Qual Criterion</v>
      </c>
      <c r="D96" s="679">
        <v>10</v>
      </c>
      <c r="E96" s="680">
        <v>2.5</v>
      </c>
      <c r="F96" s="680">
        <f t="shared" si="9"/>
        <v>475</v>
      </c>
      <c r="G96" s="680">
        <f>IF(F96&lt;&gt;0,MIN(F96,[1]Toxicity!CA92),[1]Toxicity!CA92)</f>
        <v>475</v>
      </c>
      <c r="H96" s="620">
        <f>MAX(G96,[1]Toxicity!AY92,[1]Toxicity!AN92)</f>
        <v>475</v>
      </c>
      <c r="I96" s="681">
        <f t="shared" si="8"/>
        <v>500</v>
      </c>
      <c r="J96" s="682" t="str">
        <f>IF(H96=0,"Not Calculated",IF(H96=F96,C96,IF(H96=[1]Toxicity!CA92,"Ceiling",IF(H96=[1]Toxicity!AY92,"PQL","Bckgrnd"))))</f>
        <v>MN SW Qual Criterion</v>
      </c>
      <c r="K96" s="62"/>
      <c r="M96" s="676"/>
    </row>
    <row r="97" spans="1:13" ht="14" x14ac:dyDescent="0.25">
      <c r="A97" s="540" t="s">
        <v>893</v>
      </c>
      <c r="B97" s="677">
        <f>'GW-3 SW Target'!AC97</f>
        <v>1705</v>
      </c>
      <c r="C97" s="678" t="str">
        <f t="shared" si="6"/>
        <v>MN SW Qual Criterion</v>
      </c>
      <c r="D97" s="679">
        <v>10</v>
      </c>
      <c r="E97" s="680">
        <v>2.5</v>
      </c>
      <c r="F97" s="680">
        <f t="shared" si="9"/>
        <v>42625</v>
      </c>
      <c r="G97" s="680">
        <f>IF(F97&lt;&gt;0,MIN(F97,[1]Toxicity!CA93),[1]Toxicity!CA93)</f>
        <v>42625</v>
      </c>
      <c r="H97" s="620">
        <f>MAX(G97,[1]Toxicity!AY93,[1]Toxicity!AN93)</f>
        <v>42625</v>
      </c>
      <c r="I97" s="681">
        <f t="shared" si="8"/>
        <v>40000</v>
      </c>
      <c r="J97" s="682" t="str">
        <f>IF(H97=0,"Not Calculated",IF(H97=F97,C97,IF(H97=[1]Toxicity!CA93,"Ceiling",IF(H97=[1]Toxicity!AY93,"PQL","Bckgrnd"))))</f>
        <v>MN SW Qual Criterion</v>
      </c>
      <c r="K97" s="62"/>
      <c r="M97" s="676"/>
    </row>
    <row r="98" spans="1:13" ht="14" x14ac:dyDescent="0.25">
      <c r="A98" s="540" t="s">
        <v>615</v>
      </c>
      <c r="B98" s="677">
        <f>'GW-3 SW Target'!AC98</f>
        <v>59</v>
      </c>
      <c r="C98" s="678" t="str">
        <f>(VLOOKUP(A98,SWTarget,30,FALSE))</f>
        <v>chronic LOEC</v>
      </c>
      <c r="D98" s="679">
        <v>10</v>
      </c>
      <c r="E98" s="680">
        <f>IF((VLOOKUP(A98,[1]!TOX,62,FALSE))=0,2.5,IF((VLOOKUP(A98,[1]!TOX,62,FALSE))&lt;1000,2.5,IF((VLOOKUP(A98,[1]!TOX,62,FALSE))&lt;100000,25,100)))</f>
        <v>2.5</v>
      </c>
      <c r="F98" s="680">
        <f>E98*D98*B98</f>
        <v>1475</v>
      </c>
      <c r="G98" s="680">
        <f>IF(F98&lt;&gt;0,MIN(F98,[1]Toxicity!CA94),[1]Toxicity!CA94)</f>
        <v>1475</v>
      </c>
      <c r="H98" s="620">
        <f>MAX(G98,[1]Toxicity!AY94,[1]Toxicity!AN94)</f>
        <v>1475</v>
      </c>
      <c r="I98" s="681">
        <f>ROUND(H98,-INT(LOG10(ABS(H98))))</f>
        <v>1000</v>
      </c>
      <c r="J98" s="682" t="str">
        <f>IF(H98=0,"Not Calculated",IF(H98=F98,C98,IF(H98=[1]Toxicity!CA94,"Ceiling",IF(H98=[1]Toxicity!AY94,"PQL","Bckgrnd"))))</f>
        <v>chronic LOEC</v>
      </c>
      <c r="K98" s="62"/>
      <c r="M98" s="676"/>
    </row>
    <row r="99" spans="1:13" ht="14" x14ac:dyDescent="0.25">
      <c r="A99" s="540" t="s">
        <v>103</v>
      </c>
      <c r="B99" s="677">
        <f>'GW-3 SW Target'!AC99</f>
        <v>0</v>
      </c>
      <c r="C99" s="678">
        <f t="shared" si="6"/>
        <v>0</v>
      </c>
      <c r="D99" s="679"/>
      <c r="E99" s="680">
        <f>IF((VLOOKUP(A99,[1]!TOX,62,FALSE))=0,2.5,IF((VLOOKUP(A99,[1]!TOX,62,FALSE))&lt;1000,2.5,IF((VLOOKUP(A99,[1]!TOX,62,FALSE))&lt;100000,25,100)))</f>
        <v>2.5</v>
      </c>
      <c r="F99" s="680">
        <f t="shared" si="7"/>
        <v>0</v>
      </c>
      <c r="G99" s="680"/>
      <c r="H99" s="620">
        <f>MIN(H102,H103,H105)</f>
        <v>5000</v>
      </c>
      <c r="I99" s="681">
        <f>MIN(I102,I103,I105)</f>
        <v>5000</v>
      </c>
      <c r="J99" s="682" t="s">
        <v>36</v>
      </c>
      <c r="K99" s="62"/>
      <c r="M99" s="676"/>
    </row>
    <row r="100" spans="1:13" ht="23" x14ac:dyDescent="0.25">
      <c r="A100" s="542" t="s">
        <v>1051</v>
      </c>
      <c r="B100" s="677">
        <f>'GW-3 SW Target'!AC100</f>
        <v>250</v>
      </c>
      <c r="C100" s="678" t="str">
        <f t="shared" si="6"/>
        <v>acute LC50/10</v>
      </c>
      <c r="D100" s="679">
        <v>10</v>
      </c>
      <c r="E100" s="680">
        <f>IF((VLOOKUP(A100,[1]!TOX,62,FALSE))=0,2.5,IF((VLOOKUP(A100,[1]!TOX,62,FALSE))&lt;1000,2.5,IF((VLOOKUP(A100,[1]!TOX,62,FALSE))&lt;100000,25,100)))</f>
        <v>25</v>
      </c>
      <c r="F100" s="680">
        <f t="shared" si="7"/>
        <v>62500</v>
      </c>
      <c r="G100" s="680">
        <f>IF(F100&lt;&gt;0,MIN(F100,[1]Toxicity!CA96),[1]Toxicity!CA96)</f>
        <v>50000</v>
      </c>
      <c r="H100" s="620">
        <f>MAX(G100,[1]Toxicity!AY96,[1]Toxicity!AN96)</f>
        <v>50000</v>
      </c>
      <c r="I100" s="681">
        <f t="shared" ref="I100:I129" si="10">ROUND(H100,-INT(LOG10(ABS(H100))))</f>
        <v>50000</v>
      </c>
      <c r="J100" s="682" t="str">
        <f>IF(H100=0,"Not Calculated",IF(H100=F100,C100,IF(H100=[1]Toxicity!CA96,"Ceiling",IF(H100=[1]Toxicity!AY96,"PQL","Bckgrnd"))))</f>
        <v>Ceiling</v>
      </c>
      <c r="K100" s="62"/>
      <c r="M100" s="676"/>
    </row>
    <row r="101" spans="1:13" ht="23" x14ac:dyDescent="0.25">
      <c r="A101" s="543" t="s">
        <v>1052</v>
      </c>
      <c r="B101" s="677">
        <f>'GW-3 SW Target'!AC101</f>
        <v>1800</v>
      </c>
      <c r="C101" s="678" t="str">
        <f t="shared" si="6"/>
        <v>acute LC50/10</v>
      </c>
      <c r="D101" s="679">
        <v>10</v>
      </c>
      <c r="E101" s="680">
        <f>IF((VLOOKUP(A101,[1]!TOX,62,FALSE))=0,2.5,IF((VLOOKUP(A101,[1]!TOX,62,FALSE))&lt;1000,2.5,IF((VLOOKUP(A101,[1]!TOX,62,FALSE))&lt;100000,25,100)))</f>
        <v>100</v>
      </c>
      <c r="F101" s="680">
        <f t="shared" si="7"/>
        <v>1800000</v>
      </c>
      <c r="G101" s="680">
        <f>IF(F101&lt;&gt;0,MIN(F101,[1]Toxicity!CA97),[1]Toxicity!CA97)</f>
        <v>50000</v>
      </c>
      <c r="H101" s="620">
        <f>MAX(G101,[1]Toxicity!AY97,[1]Toxicity!AN97)</f>
        <v>50000</v>
      </c>
      <c r="I101" s="681">
        <f t="shared" si="10"/>
        <v>50000</v>
      </c>
      <c r="J101" s="682" t="str">
        <f>IF(H101=0,"Not Calculated",IF(H101=F101,C101,IF(H101=[1]Toxicity!CA97,"Ceiling",IF(H101=[1]Toxicity!AY97,"PQL","Bckgrnd"))))</f>
        <v>Ceiling</v>
      </c>
      <c r="K101" s="62"/>
      <c r="M101" s="676"/>
    </row>
    <row r="102" spans="1:13" ht="23" x14ac:dyDescent="0.25">
      <c r="A102" s="540" t="s">
        <v>1053</v>
      </c>
      <c r="B102" s="677">
        <f>'GW-3 SW Target'!AC102</f>
        <v>1800</v>
      </c>
      <c r="C102" s="678" t="str">
        <f t="shared" si="6"/>
        <v>acute LC50/10</v>
      </c>
      <c r="D102" s="679">
        <v>10</v>
      </c>
      <c r="E102" s="680">
        <f>IF((VLOOKUP(A102,[1]!TOX,62,FALSE))=0,2.5,IF((VLOOKUP(A102,[1]!TOX,62,FALSE))&lt;1000,2.5,IF((VLOOKUP(A102,[1]!TOX,62,FALSE))&lt;100000,25,100)))</f>
        <v>100</v>
      </c>
      <c r="F102" s="680">
        <f t="shared" si="7"/>
        <v>1800000</v>
      </c>
      <c r="G102" s="680">
        <f>IF(F102&lt;&gt;0,MIN(F102,[1]Toxicity!CA98),[1]Toxicity!CA98)</f>
        <v>50000</v>
      </c>
      <c r="H102" s="620">
        <f>MAX(G102,[1]Toxicity!AY98,[1]Toxicity!AN98)</f>
        <v>50000</v>
      </c>
      <c r="I102" s="681">
        <f t="shared" si="10"/>
        <v>50000</v>
      </c>
      <c r="J102" s="682" t="str">
        <f>IF(H102=0,"Not Calculated",IF(H102=F102,C102,IF(H102=[1]Toxicity!CA98,"Ceiling",IF(H102=[1]Toxicity!AY98,"PQL","Bckgrnd"))))</f>
        <v>Ceiling</v>
      </c>
      <c r="K102" s="62"/>
      <c r="M102" s="676"/>
    </row>
    <row r="103" spans="1:13" ht="23" x14ac:dyDescent="0.25">
      <c r="A103" s="540" t="s">
        <v>1054</v>
      </c>
      <c r="B103" s="677">
        <f>'GW-3 SW Target'!AC103</f>
        <v>2100</v>
      </c>
      <c r="C103" s="678" t="str">
        <f t="shared" si="6"/>
        <v>acute EC50/10</v>
      </c>
      <c r="D103" s="679">
        <v>10</v>
      </c>
      <c r="E103" s="680">
        <v>100</v>
      </c>
      <c r="F103" s="680">
        <f t="shared" si="7"/>
        <v>2100000</v>
      </c>
      <c r="G103" s="680">
        <f>IF(F103&lt;&gt;0,MIN(F103,[1]Toxicity!CA99),[1]Toxicity!CA99)</f>
        <v>50000</v>
      </c>
      <c r="H103" s="620">
        <f>MAX(G103,[1]Toxicity!AY99,[1]Toxicity!AN99)</f>
        <v>50000</v>
      </c>
      <c r="I103" s="681">
        <f t="shared" si="10"/>
        <v>50000</v>
      </c>
      <c r="J103" s="682" t="str">
        <f>IF(H103=0,"Not Calculated",IF(H103=F103,C103,IF(H103=[1]Toxicity!CA99,"Ceiling",IF(H103=[1]Toxicity!AY99,"PQL","Bckgrnd"))))</f>
        <v>Ceiling</v>
      </c>
      <c r="K103" s="62"/>
      <c r="M103" s="676"/>
    </row>
    <row r="104" spans="1:13" ht="23" x14ac:dyDescent="0.25">
      <c r="A104" s="542" t="s">
        <v>1055</v>
      </c>
      <c r="B104" s="677">
        <f>'GW-3 SW Target'!AC104</f>
        <v>540</v>
      </c>
      <c r="C104" s="678" t="str">
        <f t="shared" si="6"/>
        <v>acute LC50/10</v>
      </c>
      <c r="D104" s="679">
        <v>10</v>
      </c>
      <c r="E104" s="680">
        <f>IF((VLOOKUP(A104,[1]!TOX,62,FALSE))=0,2.5,IF((VLOOKUP(A104,[1]!TOX,62,FALSE))&lt;1000,2.5,IF((VLOOKUP(A104,[1]!TOX,62,FALSE))&lt;100000,25,100)))</f>
        <v>25</v>
      </c>
      <c r="F104" s="680">
        <f t="shared" si="7"/>
        <v>135000</v>
      </c>
      <c r="G104" s="680">
        <f>IF(F104&lt;&gt;0,MIN(F104,[1]Toxicity!CA100),[1]Toxicity!CA100)</f>
        <v>50000</v>
      </c>
      <c r="H104" s="620">
        <f>MAX(G104,[1]Toxicity!AY100,[1]Toxicity!AN100)</f>
        <v>50000</v>
      </c>
      <c r="I104" s="681">
        <f t="shared" si="10"/>
        <v>50000</v>
      </c>
      <c r="J104" s="682" t="str">
        <f>IF(H104=0,"Not Calculated",IF(H104=F104,C104,IF(H104=[1]Toxicity!CA100,"Ceiling",IF(H104=[1]Toxicity!AY100,"PQL","Bckgrnd"))))</f>
        <v>Ceiling</v>
      </c>
      <c r="K104" s="62"/>
      <c r="M104" s="676"/>
    </row>
    <row r="105" spans="1:13" ht="23" x14ac:dyDescent="0.25">
      <c r="A105" s="540" t="s">
        <v>1056</v>
      </c>
      <c r="B105" s="677">
        <f>'GW-3 SW Target'!AC105</f>
        <v>5</v>
      </c>
      <c r="C105" s="678" t="str">
        <f t="shared" si="6"/>
        <v>Mean PAH tox</v>
      </c>
      <c r="D105" s="679">
        <v>10</v>
      </c>
      <c r="E105" s="680">
        <v>100</v>
      </c>
      <c r="F105" s="680">
        <f t="shared" si="7"/>
        <v>5000</v>
      </c>
      <c r="G105" s="680">
        <f>IF(F105&lt;&gt;0,MIN(F105,[1]Toxicity!CA101),[1]Toxicity!CA101)</f>
        <v>5000</v>
      </c>
      <c r="H105" s="620">
        <f>MAX(G105,[1]Toxicity!AY101,[1]Toxicity!AN101)</f>
        <v>5000</v>
      </c>
      <c r="I105" s="681">
        <f t="shared" si="10"/>
        <v>5000</v>
      </c>
      <c r="J105" s="682" t="str">
        <f>IF(H105=0,"Not Calculated",IF(H105=F105,C105,IF(H105=[1]Toxicity!CA101,"Ceiling",IF(H105=[1]Toxicity!AY101,"PQL","Bckgrnd"))))</f>
        <v>Mean PAH tox</v>
      </c>
      <c r="K105" s="62"/>
      <c r="M105" s="676"/>
    </row>
    <row r="106" spans="1:13" ht="14" x14ac:dyDescent="0.25">
      <c r="A106" s="540" t="s">
        <v>239</v>
      </c>
      <c r="B106" s="677">
        <f>'GW-3 SW Target'!AC106</f>
        <v>38</v>
      </c>
      <c r="C106" s="678" t="str">
        <f t="shared" si="6"/>
        <v>chronic LOEC</v>
      </c>
      <c r="D106" s="679">
        <v>10</v>
      </c>
      <c r="E106" s="680">
        <f>IF((VLOOKUP(A106,[1]!TOX,62,FALSE))=0,2.5,IF((VLOOKUP(A106,[1]!TOX,62,FALSE))&lt;1000,2.5,IF((VLOOKUP(A106,[1]!TOX,62,FALSE))&lt;100000,25,100)))</f>
        <v>25</v>
      </c>
      <c r="F106" s="680">
        <f t="shared" si="7"/>
        <v>9500</v>
      </c>
      <c r="G106" s="680">
        <f>IF(F106&lt;&gt;0,MIN(F106,[1]Toxicity!CA102),[1]Toxicity!CA102)</f>
        <v>9500</v>
      </c>
      <c r="H106" s="620">
        <f>MAX(G106,[1]Toxicity!AY102,[1]Toxicity!AN102)</f>
        <v>9500</v>
      </c>
      <c r="I106" s="681">
        <f t="shared" si="10"/>
        <v>10000</v>
      </c>
      <c r="J106" s="682" t="str">
        <f>IF(H106=0,"Not Calculated",IF(H106=F106,C106,IF(H106=[1]Toxicity!CA102,"Ceiling",IF(H106=[1]Toxicity!AY102,"PQL","Bckgrnd"))))</f>
        <v>chronic LOEC</v>
      </c>
      <c r="K106" s="62"/>
      <c r="M106" s="676"/>
    </row>
    <row r="107" spans="1:13" ht="14" x14ac:dyDescent="0.25">
      <c r="A107" s="540" t="s">
        <v>240</v>
      </c>
      <c r="B107" s="677">
        <f>'GW-3 SW Target'!AC107</f>
        <v>62</v>
      </c>
      <c r="C107" s="678" t="str">
        <f t="shared" ref="C107:C129" si="11">(VLOOKUP(A107,SWTarget,30,FALSE))</f>
        <v>chronic LOEC</v>
      </c>
      <c r="D107" s="679">
        <v>10</v>
      </c>
      <c r="E107" s="680">
        <f>IF((VLOOKUP(A107,[1]!TOX,62,FALSE))=0,2.5,IF((VLOOKUP(A107,[1]!TOX,62,FALSE))&lt;1000,2.5,IF((VLOOKUP(A107,[1]!TOX,62,FALSE))&lt;100000,25,100)))</f>
        <v>2.5</v>
      </c>
      <c r="F107" s="680">
        <f t="shared" si="7"/>
        <v>1550</v>
      </c>
      <c r="G107" s="680">
        <f>IF(F107&lt;&gt;0,MIN(F107,[1]Toxicity!CA103),[1]Toxicity!CA103)</f>
        <v>1550</v>
      </c>
      <c r="H107" s="620">
        <f>MAX(G107,[1]Toxicity!AY103,[1]Toxicity!AN103)</f>
        <v>1550</v>
      </c>
      <c r="I107" s="681">
        <f t="shared" si="10"/>
        <v>2000</v>
      </c>
      <c r="J107" s="682" t="str">
        <f>IF(H107=0,"Not Calculated",IF(H107=F107,C107,IF(H107=[1]Toxicity!CA103,"Ceiling",IF(H107=[1]Toxicity!AY103,"PQL","Bckgrnd"))))</f>
        <v>chronic LOEC</v>
      </c>
      <c r="K107" s="62"/>
      <c r="M107" s="676"/>
    </row>
    <row r="108" spans="1:13" ht="14" x14ac:dyDescent="0.25">
      <c r="A108" s="540" t="s">
        <v>241</v>
      </c>
      <c r="B108" s="677">
        <f>'GW-3 SW Target'!AC108</f>
        <v>1.4E-2</v>
      </c>
      <c r="C108" s="678" t="str">
        <f t="shared" si="11"/>
        <v xml:space="preserve">CCC (FW) </v>
      </c>
      <c r="D108" s="679">
        <v>10</v>
      </c>
      <c r="E108" s="680">
        <f>IF((VLOOKUP(A108,[1]!TOX,62,FALSE))=0,2.5,IF((VLOOKUP(A108,[1]!TOX,62,FALSE))&lt;1000,2.5,IF((VLOOKUP(A108,[1]!TOX,62,FALSE))&lt;100000,25,100)))</f>
        <v>100</v>
      </c>
      <c r="F108" s="680">
        <f t="shared" si="7"/>
        <v>14</v>
      </c>
      <c r="G108" s="680">
        <f>IF(F108&lt;&gt;0,MIN(F108,[1]Toxicity!CA104),[1]Toxicity!CA104)</f>
        <v>14</v>
      </c>
      <c r="H108" s="620">
        <f>MAX(G108,[1]Toxicity!AY104,[1]Toxicity!AN104)</f>
        <v>14</v>
      </c>
      <c r="I108" s="681">
        <f t="shared" si="10"/>
        <v>10</v>
      </c>
      <c r="J108" s="682" t="str">
        <f>IF(H108=0,"Not Calculated",IF(H108=F108,C108,IF(H108=[1]Toxicity!CA104,"Ceiling",IF(H108=[1]Toxicity!AY104,"PQL","Bckgrnd"))))</f>
        <v xml:space="preserve">CCC (FW) </v>
      </c>
      <c r="K108" s="62"/>
      <c r="M108" s="676"/>
    </row>
    <row r="109" spans="1:13" ht="14" x14ac:dyDescent="0.25">
      <c r="A109" s="540" t="s">
        <v>242</v>
      </c>
      <c r="B109" s="677">
        <f>'GW-3 SW Target'!AC109</f>
        <v>8.8999999999999996E-2</v>
      </c>
      <c r="C109" s="678" t="str">
        <f t="shared" si="11"/>
        <v>acute LC50/10</v>
      </c>
      <c r="D109" s="679">
        <v>10</v>
      </c>
      <c r="E109" s="680">
        <f>IF((VLOOKUP(A109,[1]!TOX,62,FALSE))=0,2.5,IF((VLOOKUP(A109,[1]!TOX,62,FALSE))&lt;1000,2.5,IF((VLOOKUP(A109,[1]!TOX,62,FALSE))&lt;100000,25,100)))</f>
        <v>25</v>
      </c>
      <c r="F109" s="680">
        <f t="shared" ref="F109:F129" si="12">E109*D109*B109</f>
        <v>22.25</v>
      </c>
      <c r="G109" s="680">
        <f>IF(F109&lt;&gt;0,MIN(F109,[1]Toxicity!CA105),[1]Toxicity!CA105)</f>
        <v>22.25</v>
      </c>
      <c r="H109" s="620">
        <f>MAX(G109,[1]Toxicity!AY105,[1]Toxicity!AN105)</f>
        <v>22.25</v>
      </c>
      <c r="I109" s="681">
        <f t="shared" si="10"/>
        <v>20</v>
      </c>
      <c r="J109" s="682" t="str">
        <f>IF(H109=0,"Not Calculated",IF(H109=F109,C109,IF(H109=[1]Toxicity!CA105,"Ceiling",IF(H109=[1]Toxicity!AY105,"PQL","Bckgrnd"))))</f>
        <v>acute LC50/10</v>
      </c>
      <c r="K109" s="62"/>
      <c r="M109" s="676"/>
    </row>
    <row r="110" spans="1:13" ht="14" x14ac:dyDescent="0.25">
      <c r="A110" s="540" t="s">
        <v>433</v>
      </c>
      <c r="B110" s="677">
        <f>'GW-3 SW Target'!AC110</f>
        <v>2400</v>
      </c>
      <c r="C110" s="678" t="str">
        <f t="shared" si="11"/>
        <v>chronic LOEC</v>
      </c>
      <c r="D110" s="679">
        <v>10</v>
      </c>
      <c r="E110" s="680">
        <f>IF((VLOOKUP(A110,[1]!TOX,62,FALSE))=0,2.5,IF((VLOOKUP(A110,[1]!TOX,62,FALSE))&lt;1000,2.5,IF((VLOOKUP(A110,[1]!TOX,62,FALSE))&lt;100000,25,100)))</f>
        <v>2.5</v>
      </c>
      <c r="F110" s="680">
        <f t="shared" si="12"/>
        <v>60000</v>
      </c>
      <c r="G110" s="680">
        <f>IF(F110&lt;&gt;0,MIN(F110,[1]Toxicity!CA106),[1]Toxicity!CA106)</f>
        <v>50000</v>
      </c>
      <c r="H110" s="620">
        <f>MAX(G110,[1]Toxicity!AY106,[1]Toxicity!AN106)</f>
        <v>50000</v>
      </c>
      <c r="I110" s="681">
        <f t="shared" si="10"/>
        <v>50000</v>
      </c>
      <c r="J110" s="682" t="str">
        <f>IF(H110=0,"Not Calculated",IF(H110=F110,C110,IF(H110=[1]Toxicity!CA106,"Ceiling",IF(H110=[1]Toxicity!AY106,"PQL","Bckgrnd"))))</f>
        <v>Ceiling</v>
      </c>
      <c r="K110" s="62"/>
      <c r="M110" s="676"/>
    </row>
    <row r="111" spans="1:13" ht="14" x14ac:dyDescent="0.25">
      <c r="A111" s="540" t="s">
        <v>243</v>
      </c>
      <c r="B111" s="677">
        <f>'GW-3 SW Target'!AC111</f>
        <v>1.5</v>
      </c>
      <c r="C111" s="678" t="str">
        <f t="shared" si="11"/>
        <v>CCC</v>
      </c>
      <c r="D111" s="679">
        <v>10</v>
      </c>
      <c r="E111" s="680">
        <f>IF((VLOOKUP(A111,[1]!TOX,62,FALSE))=0,2.5,IF((VLOOKUP(A111,[1]!TOX,62,FALSE))&lt;1000,2.5,IF((VLOOKUP(A111,[1]!TOX,62,FALSE))&lt;100000,25,100)))</f>
        <v>2.5</v>
      </c>
      <c r="F111" s="680">
        <f t="shared" si="12"/>
        <v>37.5</v>
      </c>
      <c r="G111" s="680">
        <f>IF(F111&lt;&gt;0,MIN(F111,[1]Toxicity!CA107),[1]Toxicity!CA107)</f>
        <v>37.5</v>
      </c>
      <c r="H111" s="620">
        <f>MAX(G111,[1]Toxicity!AY107,[1]Toxicity!AN107)</f>
        <v>50</v>
      </c>
      <c r="I111" s="681">
        <f t="shared" si="10"/>
        <v>50</v>
      </c>
      <c r="J111" s="682" t="str">
        <f>IF(H111=0,"Not Calculated",IF(H111=F111,C111,IF(H111=[1]Toxicity!CA107,"Ceiling",IF(H111=[1]Toxicity!AY107,"PQL","Bckgrnd"))))</f>
        <v>PQL</v>
      </c>
      <c r="K111" s="62"/>
      <c r="M111" s="676"/>
    </row>
    <row r="112" spans="1:13" ht="14" x14ac:dyDescent="0.25">
      <c r="A112" s="540" t="s">
        <v>244</v>
      </c>
      <c r="B112" s="677">
        <f>'GW-3 SW Target'!AC112</f>
        <v>0.03</v>
      </c>
      <c r="C112" s="678" t="str">
        <f t="shared" si="11"/>
        <v>CMC(FW)/10</v>
      </c>
      <c r="D112" s="679">
        <v>10</v>
      </c>
      <c r="E112" s="680">
        <f>IF((VLOOKUP(A112,[1]!TOX,62,FALSE))=0,2.5,IF((VLOOKUP(A112,[1]!TOX,62,FALSE))&lt;1000,2.5,IF((VLOOKUP(A112,[1]!TOX,62,FALSE))&lt;100000,25,100)))</f>
        <v>2.5</v>
      </c>
      <c r="F112" s="680">
        <f t="shared" si="12"/>
        <v>0.75</v>
      </c>
      <c r="G112" s="680">
        <f>IF(F112&lt;&gt;0,MIN(F112,[1]Toxicity!CA108),[1]Toxicity!CA108)</f>
        <v>0.75</v>
      </c>
      <c r="H112" s="620">
        <f>MAX(G112,[1]Toxicity!AY108,[1]Toxicity!AN108)</f>
        <v>7</v>
      </c>
      <c r="I112" s="681">
        <f t="shared" si="10"/>
        <v>7</v>
      </c>
      <c r="J112" s="682" t="str">
        <f>IF(H112=0,"Not Calculated",IF(H112=F112,C112,IF(H112=[1]Toxicity!CA108,"Ceiling",IF(H112=[1]Toxicity!AY108,"PQL","Bckgrnd"))))</f>
        <v>PQL</v>
      </c>
      <c r="K112" s="62"/>
      <c r="M112" s="676"/>
    </row>
    <row r="113" spans="1:13" ht="14" x14ac:dyDescent="0.25">
      <c r="A113" s="540" t="s">
        <v>245</v>
      </c>
      <c r="B113" s="677">
        <f>'GW-3 SW Target'!AC113</f>
        <v>250</v>
      </c>
      <c r="C113" s="678" t="str">
        <f t="shared" si="11"/>
        <v>acute LC50/10</v>
      </c>
      <c r="D113" s="679">
        <v>10</v>
      </c>
      <c r="E113" s="680">
        <f>IF((VLOOKUP(A113,[1]!TOX,62,FALSE))=0,2.5,IF((VLOOKUP(A113,[1]!TOX,62,FALSE))&lt;1000,2.5,IF((VLOOKUP(A113,[1]!TOX,62,FALSE))&lt;100000,25,100)))</f>
        <v>2.5</v>
      </c>
      <c r="F113" s="680">
        <f t="shared" si="12"/>
        <v>6250</v>
      </c>
      <c r="G113" s="680">
        <f>IF(F113&lt;&gt;0,MIN(F113,[1]Toxicity!CA109),[1]Toxicity!CA109)</f>
        <v>6250</v>
      </c>
      <c r="H113" s="620">
        <f>MAX(G113,[1]Toxicity!AY109,[1]Toxicity!AN109)</f>
        <v>6250</v>
      </c>
      <c r="I113" s="681">
        <f t="shared" si="10"/>
        <v>6000</v>
      </c>
      <c r="J113" s="682" t="str">
        <f>IF(H113=0,"Not Calculated",IF(H113=F113,C113,IF(H113=[1]Toxicity!CA109,"Ceiling",IF(H113=[1]Toxicity!AY109,"PQL","Bckgrnd"))))</f>
        <v>acute LC50/10</v>
      </c>
      <c r="K113" s="62"/>
      <c r="M113" s="676"/>
    </row>
    <row r="114" spans="1:13" ht="14" x14ac:dyDescent="0.25">
      <c r="A114" s="540" t="s">
        <v>320</v>
      </c>
      <c r="B114" s="677">
        <f>'GW-3 SW Target'!AC114</f>
        <v>3.8000000000000002E-5</v>
      </c>
      <c r="C114" s="678" t="str">
        <f t="shared" si="11"/>
        <v>chronicLOEC</v>
      </c>
      <c r="D114" s="679">
        <v>10</v>
      </c>
      <c r="E114" s="680">
        <f>IF((VLOOKUP(A114,[1]!TOX,62,FALSE))=0,2.5,IF((VLOOKUP(A114,[1]!TOX,62,FALSE))&lt;1000,2.5,IF((VLOOKUP(A114,[1]!TOX,62,FALSE))&lt;100000,25,100)))</f>
        <v>100</v>
      </c>
      <c r="F114" s="680">
        <f t="shared" si="12"/>
        <v>3.7999999999999999E-2</v>
      </c>
      <c r="G114" s="680">
        <f>IF(F114&lt;&gt;0,MIN(F114,[1]Toxicity!CA110),[1]Toxicity!CA110)</f>
        <v>3.7999999999999999E-2</v>
      </c>
      <c r="H114" s="620">
        <f>MAX(G114,[1]Toxicity!AY110,[1]Toxicity!AN110)</f>
        <v>3.7999999999999999E-2</v>
      </c>
      <c r="I114" s="681">
        <f t="shared" si="10"/>
        <v>0.04</v>
      </c>
      <c r="J114" s="682" t="str">
        <f>IF(H114=0,"Not Calculated",IF(H114=F114,C114,IF(H114=[1]Toxicity!CA110,"Ceiling",IF(H114=[1]Toxicity!AY110,"PQL","Bckgrnd"))))</f>
        <v>chronicLOEC</v>
      </c>
      <c r="K114" s="62"/>
      <c r="M114" s="676"/>
    </row>
    <row r="115" spans="1:13" ht="14" x14ac:dyDescent="0.25">
      <c r="A115" s="540" t="s">
        <v>246</v>
      </c>
      <c r="B115" s="677">
        <f>'GW-3 SW Target'!AC115</f>
        <v>2000</v>
      </c>
      <c r="C115" s="678" t="str">
        <f t="shared" si="11"/>
        <v>acute LC50/10</v>
      </c>
      <c r="D115" s="679">
        <v>10</v>
      </c>
      <c r="E115" s="680">
        <f>IF((VLOOKUP(A115,[1]!TOX,62,FALSE))=0,2.5,IF((VLOOKUP(A115,[1]!TOX,62,FALSE))&lt;1000,2.5,IF((VLOOKUP(A115,[1]!TOX,62,FALSE))&lt;100000,25,100)))</f>
        <v>2.5</v>
      </c>
      <c r="F115" s="680">
        <f t="shared" si="12"/>
        <v>50000</v>
      </c>
      <c r="G115" s="680">
        <f>IF(F115&lt;&gt;0,MIN(F115,[1]Toxicity!CA111),[1]Toxicity!CA111)</f>
        <v>50000</v>
      </c>
      <c r="H115" s="620">
        <f>MAX(G115,[1]Toxicity!AY111,[1]Toxicity!AN111)</f>
        <v>50000</v>
      </c>
      <c r="I115" s="681">
        <f t="shared" si="10"/>
        <v>50000</v>
      </c>
      <c r="J115" s="682" t="str">
        <f>IF(H115=0,"Not Calculated",IF(H115=F115,C115,IF(H115=[1]Toxicity!CA111,"Ceiling",IF(H115=[1]Toxicity!AY111,"PQL","Bckgrnd"))))</f>
        <v>acute LC50/10</v>
      </c>
      <c r="K115" s="62"/>
      <c r="M115" s="676"/>
    </row>
    <row r="116" spans="1:13" ht="14" x14ac:dyDescent="0.25">
      <c r="A116" s="540" t="s">
        <v>247</v>
      </c>
      <c r="B116" s="677">
        <f>'GW-3 SW Target'!AC116</f>
        <v>4000</v>
      </c>
      <c r="C116" s="678" t="str">
        <f t="shared" si="11"/>
        <v>chronic LOEC</v>
      </c>
      <c r="D116" s="679">
        <v>10</v>
      </c>
      <c r="E116" s="680">
        <f>IF((VLOOKUP(A116,[1]!TOX,62,FALSE))=0,2.5,IF((VLOOKUP(A116,[1]!TOX,62,FALSE))&lt;1000,2.5,IF((VLOOKUP(A116,[1]!TOX,62,FALSE))&lt;100000,25,100)))</f>
        <v>2.5</v>
      </c>
      <c r="F116" s="680">
        <f t="shared" si="12"/>
        <v>100000</v>
      </c>
      <c r="G116" s="680">
        <f>IF(F116&lt;&gt;0,MIN(F116,[1]Toxicity!CA112),[1]Toxicity!CA112)</f>
        <v>50000</v>
      </c>
      <c r="H116" s="620">
        <f>MAX(G116,[1]Toxicity!AY112,[1]Toxicity!AN112)</f>
        <v>50000</v>
      </c>
      <c r="I116" s="681">
        <f t="shared" si="10"/>
        <v>50000</v>
      </c>
      <c r="J116" s="682" t="str">
        <f>IF(H116=0,"Not Calculated",IF(H116=F116,C116,IF(H116=[1]Toxicity!CA112,"Ceiling",IF(H116=[1]Toxicity!AY112,"PQL","Bckgrnd"))))</f>
        <v>Ceiling</v>
      </c>
      <c r="K116" s="62"/>
      <c r="M116" s="676"/>
    </row>
    <row r="117" spans="1:13" ht="14" x14ac:dyDescent="0.25">
      <c r="A117" s="540" t="s">
        <v>248</v>
      </c>
      <c r="B117" s="677">
        <f>'GW-3 SW Target'!AC117</f>
        <v>1100</v>
      </c>
      <c r="C117" s="678" t="str">
        <f t="shared" si="11"/>
        <v>chronic LOEC</v>
      </c>
      <c r="D117" s="679">
        <v>10</v>
      </c>
      <c r="E117" s="680">
        <f>IF((VLOOKUP(A117,[1]!TOX,62,FALSE))=0,2.5,IF((VLOOKUP(A117,[1]!TOX,62,FALSE))&lt;1000,2.5,IF((VLOOKUP(A117,[1]!TOX,62,FALSE))&lt;100000,25,100)))</f>
        <v>2.5</v>
      </c>
      <c r="F117" s="680">
        <f t="shared" si="12"/>
        <v>27500</v>
      </c>
      <c r="G117" s="680">
        <f>IF(F117&lt;&gt;0,MIN(F117,[1]Toxicity!CA113),[1]Toxicity!CA113)</f>
        <v>27500</v>
      </c>
      <c r="H117" s="620">
        <f>MAX(G117,[1]Toxicity!AY113,[1]Toxicity!AN113)</f>
        <v>27500</v>
      </c>
      <c r="I117" s="681">
        <f t="shared" si="10"/>
        <v>30000</v>
      </c>
      <c r="J117" s="682" t="str">
        <f>IF(H117=0,"Not Calculated",IF(H117=F117,C117,IF(H117=[1]Toxicity!CA113,"Ceiling",IF(H117=[1]Toxicity!AY113,"PQL","Bckgrnd"))))</f>
        <v>chronic LOEC</v>
      </c>
      <c r="K117" s="62"/>
      <c r="M117" s="676"/>
    </row>
    <row r="118" spans="1:13" ht="14" x14ac:dyDescent="0.25">
      <c r="A118" s="540" t="s">
        <v>249</v>
      </c>
      <c r="B118" s="677">
        <f>'GW-3 SW Target'!AC118</f>
        <v>110</v>
      </c>
      <c r="C118" s="678" t="str">
        <f t="shared" si="11"/>
        <v>chronic</v>
      </c>
      <c r="D118" s="679">
        <v>10</v>
      </c>
      <c r="E118" s="680">
        <f>IF((VLOOKUP(A118,[1]!TOX,62,FALSE))=0,2.5,IF((VLOOKUP(A118,[1]!TOX,62,FALSE))&lt;1000,2.5,IF((VLOOKUP(A118,[1]!TOX,62,FALSE))&lt;100000,25,100)))</f>
        <v>2.5</v>
      </c>
      <c r="F118" s="680">
        <f t="shared" si="12"/>
        <v>2750</v>
      </c>
      <c r="G118" s="680">
        <f>IF(F118&lt;&gt;0,MIN(F118,[1]Toxicity!CA114),[1]Toxicity!CA114)</f>
        <v>2750</v>
      </c>
      <c r="H118" s="620">
        <f>MAX(G118,[1]Toxicity!AY114,[1]Toxicity!AN114)</f>
        <v>2750</v>
      </c>
      <c r="I118" s="681">
        <f t="shared" si="10"/>
        <v>3000</v>
      </c>
      <c r="J118" s="682" t="str">
        <f>IF(H118=0,"Not Calculated",IF(H118=F118,C118,IF(H118=[1]Toxicity!CA114,"Ceiling",IF(H118=[1]Toxicity!AY114,"PQL","Bckgrnd"))))</f>
        <v>chronic</v>
      </c>
      <c r="K118" s="62"/>
      <c r="M118" s="676"/>
    </row>
    <row r="119" spans="1:13" ht="14" x14ac:dyDescent="0.25">
      <c r="A119" s="540" t="s">
        <v>250</v>
      </c>
      <c r="B119" s="677">
        <f>'GW-3 SW Target'!AC119</f>
        <v>1400</v>
      </c>
      <c r="C119" s="678" t="str">
        <f t="shared" si="11"/>
        <v>acute EC50/10</v>
      </c>
      <c r="D119" s="679">
        <v>10</v>
      </c>
      <c r="E119" s="680">
        <f>IF((VLOOKUP(A119,[1]!TOX,62,FALSE))=0,2.5,IF((VLOOKUP(A119,[1]!TOX,62,FALSE))&lt;1000,2.5,IF((VLOOKUP(A119,[1]!TOX,62,FALSE))&lt;100000,25,100)))</f>
        <v>2.5</v>
      </c>
      <c r="F119" s="680">
        <f t="shared" si="12"/>
        <v>35000</v>
      </c>
      <c r="G119" s="680">
        <f>IF(F119&lt;&gt;0,MIN(F119,[1]Toxicity!CA115),[1]Toxicity!CA115)</f>
        <v>35000</v>
      </c>
      <c r="H119" s="620">
        <f>MAX(G119,[1]Toxicity!AY115,[1]Toxicity!AN115)</f>
        <v>35000</v>
      </c>
      <c r="I119" s="681">
        <f t="shared" si="10"/>
        <v>40000</v>
      </c>
      <c r="J119" s="682" t="str">
        <f>IF(H119=0,"Not Calculated",IF(H119=F119,C119,IF(H119=[1]Toxicity!CA115,"Ceiling",IF(H119=[1]Toxicity!AY115,"PQL","Bckgrnd"))))</f>
        <v>acute EC50/10</v>
      </c>
      <c r="K119" s="62"/>
      <c r="M119" s="676"/>
    </row>
    <row r="120" spans="1:13" ht="14" x14ac:dyDescent="0.25">
      <c r="A120" s="540" t="s">
        <v>251</v>
      </c>
      <c r="B120" s="677">
        <f>'GW-3 SW Target'!AC120</f>
        <v>340</v>
      </c>
      <c r="C120" s="678" t="str">
        <f t="shared" si="11"/>
        <v>chronic LOEC</v>
      </c>
      <c r="D120" s="679">
        <v>10</v>
      </c>
      <c r="E120" s="680">
        <f>IF((VLOOKUP(A120,[1]!TOX,62,FALSE))=0,2.5,IF((VLOOKUP(A120,[1]!TOX,62,FALSE))&lt;1000,2.5,IF((VLOOKUP(A120,[1]!TOX,62,FALSE))&lt;100000,25,100)))</f>
        <v>25</v>
      </c>
      <c r="F120" s="680">
        <f t="shared" si="12"/>
        <v>85000</v>
      </c>
      <c r="G120" s="680">
        <f>IF(F120&lt;&gt;0,MIN(F120,[1]Toxicity!CA116),[1]Toxicity!CA116)</f>
        <v>50000</v>
      </c>
      <c r="H120" s="620">
        <f>MAX(G120,[1]Toxicity!AY116,[1]Toxicity!AN116)</f>
        <v>50000</v>
      </c>
      <c r="I120" s="681">
        <f t="shared" si="10"/>
        <v>50000</v>
      </c>
      <c r="J120" s="682" t="str">
        <f>IF(H120=0,"Not Calculated",IF(H120=F120,C120,IF(H120=[1]Toxicity!CA116,"Ceiling",IF(H120=[1]Toxicity!AY116,"PQL","Bckgrnd"))))</f>
        <v>Ceiling</v>
      </c>
      <c r="K120" s="62"/>
      <c r="M120" s="676"/>
    </row>
    <row r="121" spans="1:13" ht="14" x14ac:dyDescent="0.25">
      <c r="A121" s="540" t="s">
        <v>252</v>
      </c>
      <c r="B121" s="677">
        <f>'GW-3 SW Target'!AC121</f>
        <v>900</v>
      </c>
      <c r="C121" s="678" t="str">
        <f t="shared" si="11"/>
        <v xml:space="preserve">acute EC10/10 </v>
      </c>
      <c r="D121" s="679">
        <v>10</v>
      </c>
      <c r="E121" s="680">
        <f>IF((VLOOKUP(A121,[1]!TOX,62,FALSE))=0,2.5,IF((VLOOKUP(A121,[1]!TOX,62,FALSE))&lt;1000,2.5,IF((VLOOKUP(A121,[1]!TOX,62,FALSE))&lt;100000,25,100)))</f>
        <v>2.5</v>
      </c>
      <c r="F121" s="680">
        <f t="shared" si="12"/>
        <v>22500</v>
      </c>
      <c r="G121" s="680">
        <f>IF(F121&lt;&gt;0,MIN(F121,[1]Toxicity!CA117),[1]Toxicity!CA117)</f>
        <v>22500</v>
      </c>
      <c r="H121" s="620">
        <f>MAX(G121,[1]Toxicity!AY117,[1]Toxicity!AN117)</f>
        <v>22500</v>
      </c>
      <c r="I121" s="681">
        <f t="shared" si="10"/>
        <v>20000</v>
      </c>
      <c r="J121" s="682" t="str">
        <f>IF(H121=0,"Not Calculated",IF(H121=F121,C121,IF(H121=[1]Toxicity!CA117,"Ceiling",IF(H121=[1]Toxicity!AY117,"PQL","Bckgrnd"))))</f>
        <v xml:space="preserve">acute EC10/10 </v>
      </c>
      <c r="K121" s="62"/>
      <c r="M121" s="676"/>
    </row>
    <row r="122" spans="1:13" ht="14" x14ac:dyDescent="0.25">
      <c r="A122" s="540" t="s">
        <v>253</v>
      </c>
      <c r="B122" s="677">
        <f>'GW-3 SW Target'!AC122</f>
        <v>15000</v>
      </c>
      <c r="C122" s="678" t="str">
        <f t="shared" si="11"/>
        <v>chronic LOEC</v>
      </c>
      <c r="D122" s="679">
        <v>10</v>
      </c>
      <c r="E122" s="680">
        <f>IF((VLOOKUP(A122,[1]!TOX,62,FALSE))=0,2.5,IF((VLOOKUP(A122,[1]!TOX,62,FALSE))&lt;1000,2.5,IF((VLOOKUP(A122,[1]!TOX,62,FALSE))&lt;100000,25,100)))</f>
        <v>2.5</v>
      </c>
      <c r="F122" s="680">
        <f t="shared" si="12"/>
        <v>375000</v>
      </c>
      <c r="G122" s="680">
        <f>IF(F122&lt;&gt;0,MIN(F122,[1]Toxicity!CA118),[1]Toxicity!CA118)</f>
        <v>50000</v>
      </c>
      <c r="H122" s="620">
        <f>MAX(G122,[1]Toxicity!AY118,[1]Toxicity!AN118)</f>
        <v>50000</v>
      </c>
      <c r="I122" s="681">
        <f t="shared" si="10"/>
        <v>50000</v>
      </c>
      <c r="J122" s="682" t="str">
        <f>IF(H122=0,"Not Calculated",IF(H122=F122,C122,IF(H122=[1]Toxicity!CA118,"Ceiling",IF(H122=[1]Toxicity!AY118,"PQL","Bckgrnd"))))</f>
        <v>Ceiling</v>
      </c>
      <c r="K122" s="62"/>
      <c r="M122" s="676"/>
    </row>
    <row r="123" spans="1:13" ht="14" x14ac:dyDescent="0.25">
      <c r="A123" s="540" t="s">
        <v>254</v>
      </c>
      <c r="B123" s="677">
        <f>'GW-3 SW Target'!AC123</f>
        <v>190</v>
      </c>
      <c r="C123" s="678" t="str">
        <f t="shared" si="11"/>
        <v>acute LC50/10</v>
      </c>
      <c r="D123" s="679">
        <v>10</v>
      </c>
      <c r="E123" s="680">
        <f>IF((VLOOKUP(A123,[1]!TOX,62,FALSE))=0,2.5,IF((VLOOKUP(A123,[1]!TOX,62,FALSE))&lt;1000,2.5,IF((VLOOKUP(A123,[1]!TOX,62,FALSE))&lt;100000,25,100)))</f>
        <v>2.5</v>
      </c>
      <c r="F123" s="680">
        <f t="shared" si="12"/>
        <v>4750</v>
      </c>
      <c r="G123" s="680">
        <f>IF(F123&lt;&gt;0,MIN(F123,[1]Toxicity!CA119),[1]Toxicity!CA119)</f>
        <v>4750</v>
      </c>
      <c r="H123" s="620">
        <f>MAX(G123,[1]Toxicity!AY119,[1]Toxicity!AN119)</f>
        <v>4750</v>
      </c>
      <c r="I123" s="681">
        <f t="shared" si="10"/>
        <v>5000</v>
      </c>
      <c r="J123" s="682" t="str">
        <f>IF(H123=0,"Not Calculated",IF(H123=F123,C123,IF(H123=[1]Toxicity!CA119,"Ceiling",IF(H123=[1]Toxicity!AY119,"PQL","Bckgrnd"))))</f>
        <v>acute LC50/10</v>
      </c>
      <c r="K123" s="62"/>
      <c r="M123" s="676"/>
    </row>
    <row r="124" spans="1:13" ht="14" x14ac:dyDescent="0.25">
      <c r="A124" s="540" t="s">
        <v>255</v>
      </c>
      <c r="B124" s="677">
        <f>'GW-3 SW Target'!AC124</f>
        <v>130</v>
      </c>
      <c r="C124" s="678" t="str">
        <f t="shared" si="11"/>
        <v>chronic</v>
      </c>
      <c r="D124" s="679">
        <v>10</v>
      </c>
      <c r="E124" s="680">
        <f>IF((VLOOKUP(A124,[1]!TOX,62,FALSE))=0,2.5,IF((VLOOKUP(A124,[1]!TOX,62,FALSE))&lt;1000,2.5,IF((VLOOKUP(A124,[1]!TOX,62,FALSE))&lt;100000,25,100)))</f>
        <v>2.5</v>
      </c>
      <c r="F124" s="680">
        <f t="shared" si="12"/>
        <v>3250</v>
      </c>
      <c r="G124" s="680">
        <f>IF(F124&lt;&gt;0,MIN(F124,[1]Toxicity!CA120),[1]Toxicity!CA120)</f>
        <v>3250</v>
      </c>
      <c r="H124" s="620">
        <f>MAX(G124,[1]Toxicity!AY120,[1]Toxicity!AN120)</f>
        <v>3250</v>
      </c>
      <c r="I124" s="681">
        <f t="shared" si="10"/>
        <v>3000</v>
      </c>
      <c r="J124" s="682" t="str">
        <f>IF(H124=0,"Not Calculated",IF(H124=F124,C124,IF(H124=[1]Toxicity!CA120,"Ceiling",IF(H124=[1]Toxicity!AY120,"PQL","Bckgrnd"))))</f>
        <v>chronic</v>
      </c>
      <c r="K124" s="62"/>
      <c r="M124" s="676"/>
    </row>
    <row r="125" spans="1:13" ht="14" x14ac:dyDescent="0.25">
      <c r="A125" s="540" t="s">
        <v>256</v>
      </c>
      <c r="B125" s="677">
        <f>'GW-3 SW Target'!AC125</f>
        <v>18</v>
      </c>
      <c r="C125" s="678" t="str">
        <f t="shared" si="11"/>
        <v>acute LC50/10</v>
      </c>
      <c r="D125" s="679">
        <v>10</v>
      </c>
      <c r="E125" s="680">
        <f>IF((VLOOKUP(A125,[1]!TOX,62,FALSE))=0,2.5,IF((VLOOKUP(A125,[1]!TOX,62,FALSE))&lt;1000,2.5,IF((VLOOKUP(A125,[1]!TOX,62,FALSE))&lt;100000,25,100)))</f>
        <v>2.5</v>
      </c>
      <c r="F125" s="680">
        <f t="shared" si="12"/>
        <v>450</v>
      </c>
      <c r="G125" s="680">
        <f>IF(F125&lt;&gt;0,MIN(F125,[1]Toxicity!CA121),[1]Toxicity!CA121)</f>
        <v>450</v>
      </c>
      <c r="H125" s="620">
        <f>MAX(G125,[1]Toxicity!AY121,[1]Toxicity!AN121)</f>
        <v>450</v>
      </c>
      <c r="I125" s="681">
        <f t="shared" si="10"/>
        <v>500</v>
      </c>
      <c r="J125" s="682" t="str">
        <f>IF(H125=0,"Not Calculated",IF(H125=F125,C125,IF(H125=[1]Toxicity!CA121,"Ceiling",IF(H125=[1]Toxicity!AY121,"PQL","Bckgrnd"))))</f>
        <v>acute LC50/10</v>
      </c>
      <c r="K125" s="62"/>
      <c r="M125" s="676"/>
    </row>
    <row r="126" spans="1:13" ht="14" x14ac:dyDescent="0.25">
      <c r="A126" s="540" t="s">
        <v>257</v>
      </c>
      <c r="B126" s="677">
        <f>'GW-3 SW Target'!AC126</f>
        <v>160</v>
      </c>
      <c r="C126" s="678" t="str">
        <f t="shared" si="11"/>
        <v>chronic</v>
      </c>
      <c r="D126" s="679">
        <v>10</v>
      </c>
      <c r="E126" s="680">
        <f>IF((VLOOKUP(A126,[1]!TOX,62,FALSE))=0,2.5,IF((VLOOKUP(A126,[1]!TOX,62,FALSE))&lt;1000,2.5,IF((VLOOKUP(A126,[1]!TOX,62,FALSE))&lt;100000,25,100)))</f>
        <v>2.5</v>
      </c>
      <c r="F126" s="680">
        <f t="shared" si="12"/>
        <v>4000</v>
      </c>
      <c r="G126" s="680">
        <f>IF(F126&lt;&gt;0,MIN(F126,[1]Toxicity!CA122),[1]Toxicity!CA122)</f>
        <v>4000</v>
      </c>
      <c r="H126" s="620">
        <f>MAX(G126,[1]Toxicity!AY122,[1]Toxicity!AN122)</f>
        <v>4000</v>
      </c>
      <c r="I126" s="681">
        <f t="shared" si="10"/>
        <v>4000</v>
      </c>
      <c r="J126" s="682" t="str">
        <f>IF(H126=0,"Not Calculated",IF(H126=F126,C126,IF(H126=[1]Toxicity!CA122,"Ceiling",IF(H126=[1]Toxicity!AY122,"PQL","Bckgrnd"))))</f>
        <v>chronic</v>
      </c>
      <c r="K126" s="62"/>
      <c r="M126" s="676"/>
    </row>
    <row r="127" spans="1:13" ht="14" x14ac:dyDescent="0.25">
      <c r="A127" s="540" t="s">
        <v>258</v>
      </c>
      <c r="B127" s="677">
        <f>'GW-3 SW Target'!AC127</f>
        <v>41000</v>
      </c>
      <c r="C127" s="678" t="str">
        <f t="shared" si="11"/>
        <v>acute EC50/10</v>
      </c>
      <c r="D127" s="679">
        <v>10</v>
      </c>
      <c r="E127" s="680">
        <f>IF((VLOOKUP(A127,[1]!TOX,62,FALSE))=0,2.5,IF((VLOOKUP(A127,[1]!TOX,62,FALSE))&lt;1000,2.5,IF((VLOOKUP(A127,[1]!TOX,62,FALSE))&lt;100000,25,100)))</f>
        <v>2.5</v>
      </c>
      <c r="F127" s="680">
        <f t="shared" si="12"/>
        <v>1025000</v>
      </c>
      <c r="G127" s="680">
        <f>IF(F127&lt;&gt;0,MIN(F127,[1]Toxicity!CA123),[1]Toxicity!CA123)</f>
        <v>50000</v>
      </c>
      <c r="H127" s="620">
        <f>MAX(G127,[1]Toxicity!AY123,[1]Toxicity!AN123)</f>
        <v>50000</v>
      </c>
      <c r="I127" s="681">
        <f t="shared" si="10"/>
        <v>50000</v>
      </c>
      <c r="J127" s="682" t="str">
        <f>IF(H127=0,"Not Calculated",IF(H127=F127,C127,IF(H127=[1]Toxicity!CA123,"Ceiling",IF(H127=[1]Toxicity!AY123,"PQL","Bckgrnd"))))</f>
        <v>Ceiling</v>
      </c>
      <c r="K127" s="62"/>
      <c r="M127" s="676"/>
    </row>
    <row r="128" spans="1:13" ht="14" x14ac:dyDescent="0.25">
      <c r="A128" s="540" t="s">
        <v>286</v>
      </c>
      <c r="B128" s="677">
        <f>'GW-3 SW Target'!AC128</f>
        <v>200</v>
      </c>
      <c r="C128" s="678" t="str">
        <f t="shared" si="11"/>
        <v>acute EC50/10</v>
      </c>
      <c r="D128" s="679">
        <v>10</v>
      </c>
      <c r="E128" s="680">
        <f>IF((VLOOKUP(A128,[1]!TOX,62,FALSE))=0,2.5,IF((VLOOKUP(A128,[1]!TOX,62,FALSE))&lt;1000,2.5,IF((VLOOKUP(A128,[1]!TOX,62,FALSE))&lt;100000,25,100)))</f>
        <v>2.5</v>
      </c>
      <c r="F128" s="680">
        <f t="shared" si="12"/>
        <v>5000</v>
      </c>
      <c r="G128" s="680">
        <f>IF(F128&lt;&gt;0,MIN(F128,[1]Toxicity!CA124),[1]Toxicity!CA124)</f>
        <v>5000</v>
      </c>
      <c r="H128" s="620">
        <f>MAX(G128,[1]Toxicity!AY124,[1]Toxicity!AN124)</f>
        <v>5000</v>
      </c>
      <c r="I128" s="681">
        <f t="shared" si="10"/>
        <v>5000</v>
      </c>
      <c r="J128" s="682" t="str">
        <f>IF(H128=0,"Not Calculated",IF(H128=F128,C128,IF(H128=[1]Toxicity!CA124,"Ceiling",IF(H128=[1]Toxicity!AY124,"PQL","Bckgrnd"))))</f>
        <v>acute EC50/10</v>
      </c>
      <c r="K128" s="62"/>
      <c r="M128" s="676"/>
    </row>
    <row r="129" spans="1:13" ht="14.5" thickBot="1" x14ac:dyDescent="0.3">
      <c r="A129" s="788" t="s">
        <v>259</v>
      </c>
      <c r="B129" s="683">
        <f>'GW-3 SW Target'!AC129</f>
        <v>37</v>
      </c>
      <c r="C129" s="684" t="str">
        <f t="shared" si="11"/>
        <v>CCC(FW)</v>
      </c>
      <c r="D129" s="685">
        <v>10</v>
      </c>
      <c r="E129" s="686">
        <f>IF((VLOOKUP(A129,[1]!TOX,62,FALSE))=0,2.5,IF((VLOOKUP(A129,[1]!TOX,62,FALSE))&lt;1000,2.5,IF((VLOOKUP(A129,[1]!TOX,62,FALSE))&lt;100000,25,100)))</f>
        <v>2.5</v>
      </c>
      <c r="F129" s="686">
        <f t="shared" si="12"/>
        <v>925</v>
      </c>
      <c r="G129" s="686">
        <f>IF(F129&lt;&gt;0,MIN(F129,[1]Toxicity!CA125),[1]Toxicity!CA125)</f>
        <v>925</v>
      </c>
      <c r="H129" s="623">
        <f>MAX(G129,[1]Toxicity!AY125,[1]Toxicity!AN125)</f>
        <v>925</v>
      </c>
      <c r="I129" s="687">
        <f t="shared" si="10"/>
        <v>900</v>
      </c>
      <c r="J129" s="688" t="str">
        <f>IF(H129=0,"Not Calculated",IF(H129=F129,C129,IF(H129=[1]Toxicity!CA125,"Ceiling",IF(H129=[1]Toxicity!AY125,"PQL","Bckgrnd"))))</f>
        <v>CCC(FW)</v>
      </c>
      <c r="K129" s="62"/>
      <c r="M129" s="676"/>
    </row>
    <row r="130" spans="1:13" ht="13" thickTop="1" x14ac:dyDescent="0.25">
      <c r="B130" s="689"/>
      <c r="C130" s="690"/>
      <c r="D130" s="690"/>
      <c r="E130" s="62"/>
      <c r="F130" s="62"/>
      <c r="G130" s="62"/>
      <c r="H130" s="62"/>
      <c r="I130" s="691"/>
      <c r="J130" s="62"/>
      <c r="K130" s="62"/>
    </row>
    <row r="131" spans="1:13" x14ac:dyDescent="0.25">
      <c r="B131" s="690"/>
      <c r="C131" s="212"/>
      <c r="D131" s="212"/>
      <c r="E131" s="62"/>
      <c r="F131" s="62"/>
      <c r="G131" s="62"/>
      <c r="H131" s="62"/>
      <c r="I131" s="691"/>
      <c r="J131" s="62"/>
      <c r="K131" s="62"/>
    </row>
    <row r="132" spans="1:13" x14ac:dyDescent="0.25">
      <c r="B132" s="690"/>
      <c r="C132" s="690"/>
      <c r="D132" s="690"/>
      <c r="E132" s="62"/>
      <c r="F132" s="62"/>
      <c r="G132" s="62"/>
      <c r="H132" s="62"/>
      <c r="I132" s="691"/>
      <c r="J132" s="62"/>
      <c r="K132" s="62"/>
    </row>
    <row r="133" spans="1:13" x14ac:dyDescent="0.25">
      <c r="B133" s="690"/>
      <c r="C133" s="690"/>
      <c r="D133" s="690"/>
      <c r="E133" s="62"/>
      <c r="F133" s="62"/>
      <c r="G133" s="62"/>
      <c r="H133" s="62"/>
      <c r="I133" s="691"/>
      <c r="J133" s="62"/>
      <c r="K133" s="62"/>
    </row>
    <row r="134" spans="1:13" x14ac:dyDescent="0.25">
      <c r="B134" s="212"/>
      <c r="C134" s="690"/>
      <c r="D134" s="690"/>
      <c r="E134" s="62"/>
      <c r="F134" s="62"/>
      <c r="G134" s="62"/>
      <c r="H134" s="62"/>
      <c r="I134" s="62"/>
      <c r="J134" s="62"/>
      <c r="K134" s="62"/>
    </row>
    <row r="135" spans="1:13" x14ac:dyDescent="0.25">
      <c r="B135" s="212"/>
      <c r="C135" s="690"/>
      <c r="D135" s="690"/>
      <c r="E135" s="62"/>
      <c r="F135" s="62"/>
      <c r="G135" s="62"/>
      <c r="H135" s="62"/>
      <c r="I135" s="62"/>
      <c r="J135" s="62"/>
      <c r="K135" s="62"/>
    </row>
    <row r="136" spans="1:13" x14ac:dyDescent="0.25">
      <c r="B136" s="212"/>
      <c r="C136" s="690"/>
      <c r="D136" s="690"/>
      <c r="E136" s="62"/>
      <c r="F136" s="62"/>
      <c r="G136" s="62"/>
      <c r="H136" s="62"/>
      <c r="I136" s="62"/>
      <c r="J136" s="62"/>
      <c r="K136" s="62"/>
    </row>
    <row r="137" spans="1:13" x14ac:dyDescent="0.25">
      <c r="B137" s="212"/>
      <c r="C137" s="690"/>
      <c r="D137" s="690"/>
      <c r="E137" s="62"/>
      <c r="F137" s="62"/>
      <c r="G137" s="62"/>
      <c r="H137" s="62"/>
      <c r="I137" s="62"/>
      <c r="J137" s="62"/>
      <c r="K137" s="62"/>
    </row>
    <row r="138" spans="1:13" x14ac:dyDescent="0.25">
      <c r="B138" s="212"/>
      <c r="C138" s="690"/>
      <c r="D138" s="690"/>
      <c r="E138" s="62"/>
      <c r="F138" s="62"/>
      <c r="G138" s="62"/>
      <c r="H138" s="62"/>
      <c r="I138" s="62"/>
      <c r="J138" s="62"/>
      <c r="K138" s="62"/>
    </row>
    <row r="139" spans="1:13" x14ac:dyDescent="0.25">
      <c r="B139" s="212"/>
      <c r="C139" s="690"/>
      <c r="D139" s="690"/>
      <c r="E139" s="62"/>
      <c r="F139" s="62"/>
      <c r="G139" s="62"/>
      <c r="H139" s="62"/>
      <c r="I139" s="62"/>
      <c r="J139" s="62"/>
      <c r="K139" s="62"/>
    </row>
    <row r="140" spans="1:13" x14ac:dyDescent="0.25">
      <c r="B140" s="59"/>
      <c r="C140" s="62"/>
      <c r="D140" s="62"/>
      <c r="E140" s="62"/>
      <c r="F140" s="62"/>
      <c r="G140" s="62"/>
      <c r="H140" s="62"/>
      <c r="I140" s="62"/>
      <c r="J140" s="62"/>
      <c r="K140" s="62"/>
    </row>
    <row r="141" spans="1:13" x14ac:dyDescent="0.25">
      <c r="B141" s="59"/>
      <c r="C141" s="62"/>
      <c r="D141" s="62"/>
      <c r="E141" s="62"/>
      <c r="F141" s="62"/>
      <c r="G141" s="62"/>
      <c r="H141" s="62"/>
      <c r="I141" s="62"/>
      <c r="J141" s="62"/>
      <c r="K141" s="62"/>
    </row>
    <row r="142" spans="1:13" x14ac:dyDescent="0.25">
      <c r="B142" s="59"/>
      <c r="C142" s="62"/>
      <c r="D142" s="62"/>
      <c r="E142" s="62"/>
      <c r="F142" s="62"/>
      <c r="G142" s="62"/>
      <c r="H142" s="62"/>
      <c r="I142" s="62"/>
      <c r="J142" s="62"/>
      <c r="K142" s="62"/>
    </row>
    <row r="143" spans="1:13" x14ac:dyDescent="0.25">
      <c r="B143" s="62"/>
      <c r="C143" s="62"/>
      <c r="D143" s="62"/>
      <c r="E143" s="62"/>
      <c r="F143" s="62"/>
      <c r="G143" s="62"/>
      <c r="H143" s="62"/>
      <c r="I143" s="62"/>
      <c r="J143" s="62"/>
      <c r="K143" s="62"/>
    </row>
    <row r="144" spans="1:13" x14ac:dyDescent="0.25">
      <c r="B144" s="62"/>
      <c r="C144" s="62"/>
      <c r="D144" s="62"/>
      <c r="E144" s="62"/>
      <c r="F144" s="62"/>
      <c r="G144" s="62"/>
      <c r="H144" s="62"/>
      <c r="I144" s="62"/>
      <c r="J144" s="62"/>
      <c r="K144" s="62"/>
    </row>
    <row r="145" spans="2:11" x14ac:dyDescent="0.25">
      <c r="B145" s="62"/>
      <c r="C145" s="62"/>
      <c r="D145" s="62"/>
      <c r="E145" s="62"/>
      <c r="F145" s="62"/>
      <c r="G145" s="62"/>
      <c r="H145" s="62"/>
      <c r="I145" s="62"/>
      <c r="J145" s="62"/>
      <c r="K145" s="62"/>
    </row>
    <row r="146" spans="2:11" x14ac:dyDescent="0.25">
      <c r="B146" s="62"/>
      <c r="C146" s="62"/>
      <c r="D146" s="62"/>
      <c r="E146" s="62"/>
      <c r="F146" s="62"/>
      <c r="G146" s="62"/>
      <c r="H146" s="62"/>
      <c r="I146" s="62"/>
      <c r="J146" s="62"/>
      <c r="K146" s="62"/>
    </row>
    <row r="147" spans="2:11" x14ac:dyDescent="0.25">
      <c r="B147" s="62"/>
      <c r="C147" s="62"/>
      <c r="D147" s="62"/>
      <c r="E147" s="62"/>
      <c r="F147" s="62"/>
      <c r="G147" s="62"/>
      <c r="H147" s="62"/>
      <c r="I147" s="62"/>
      <c r="J147" s="62"/>
      <c r="K147" s="62"/>
    </row>
    <row r="148" spans="2:11" x14ac:dyDescent="0.25">
      <c r="B148" s="62"/>
      <c r="C148" s="62"/>
      <c r="D148" s="62"/>
      <c r="E148" s="62"/>
      <c r="F148" s="62"/>
      <c r="G148" s="62"/>
      <c r="H148" s="62"/>
      <c r="I148" s="62"/>
      <c r="J148" s="62"/>
      <c r="K148" s="62"/>
    </row>
    <row r="149" spans="2:11" x14ac:dyDescent="0.25">
      <c r="B149" s="62"/>
      <c r="C149" s="62"/>
      <c r="D149" s="62"/>
      <c r="E149" s="62"/>
      <c r="F149" s="62"/>
      <c r="G149" s="62"/>
      <c r="H149" s="62"/>
      <c r="I149" s="62"/>
      <c r="J149" s="62"/>
      <c r="K149" s="62"/>
    </row>
    <row r="150" spans="2:11" x14ac:dyDescent="0.25">
      <c r="B150" s="62"/>
      <c r="C150" s="62"/>
      <c r="D150" s="62"/>
      <c r="E150" s="62"/>
      <c r="F150" s="62"/>
      <c r="G150" s="62"/>
      <c r="H150" s="62"/>
      <c r="I150" s="62"/>
      <c r="J150" s="62"/>
      <c r="K150" s="62"/>
    </row>
    <row r="151" spans="2:11" x14ac:dyDescent="0.25">
      <c r="B151" s="62"/>
      <c r="C151" s="62"/>
      <c r="D151" s="62"/>
      <c r="E151" s="62"/>
      <c r="F151" s="62"/>
      <c r="G151" s="62"/>
      <c r="H151" s="62"/>
      <c r="I151" s="62"/>
      <c r="J151" s="62"/>
      <c r="K151" s="62"/>
    </row>
    <row r="152" spans="2:11" x14ac:dyDescent="0.25">
      <c r="B152" s="62"/>
      <c r="C152" s="62"/>
      <c r="D152" s="62"/>
      <c r="E152" s="62"/>
      <c r="F152" s="62"/>
      <c r="G152" s="62"/>
      <c r="H152" s="62"/>
      <c r="I152" s="62"/>
      <c r="J152" s="62"/>
      <c r="K152" s="62"/>
    </row>
    <row r="153" spans="2:11" x14ac:dyDescent="0.25">
      <c r="B153" s="62"/>
      <c r="C153" s="62"/>
      <c r="D153" s="62"/>
      <c r="E153" s="62"/>
      <c r="F153" s="62"/>
      <c r="G153" s="62"/>
      <c r="H153" s="62"/>
      <c r="I153" s="62"/>
      <c r="J153" s="62"/>
      <c r="K153" s="62"/>
    </row>
    <row r="154" spans="2:11" x14ac:dyDescent="0.25">
      <c r="B154" s="62"/>
      <c r="C154" s="62"/>
      <c r="D154" s="62"/>
      <c r="E154" s="62"/>
      <c r="F154" s="62"/>
      <c r="G154" s="62"/>
      <c r="H154" s="62"/>
      <c r="I154" s="62"/>
      <c r="J154" s="62"/>
      <c r="K154" s="62"/>
    </row>
    <row r="155" spans="2:11" x14ac:dyDescent="0.25">
      <c r="B155" s="62"/>
      <c r="C155" s="62"/>
      <c r="D155" s="62"/>
      <c r="E155" s="62"/>
      <c r="F155" s="62"/>
      <c r="G155" s="62"/>
      <c r="H155" s="62"/>
      <c r="I155" s="62"/>
      <c r="J155" s="62"/>
      <c r="K155" s="62"/>
    </row>
    <row r="156" spans="2:11" x14ac:dyDescent="0.25">
      <c r="B156" s="62"/>
      <c r="C156" s="62"/>
      <c r="D156" s="62"/>
      <c r="E156" s="62"/>
      <c r="F156" s="62"/>
      <c r="G156" s="62"/>
      <c r="H156" s="62"/>
      <c r="I156" s="62"/>
      <c r="J156" s="62"/>
      <c r="K156" s="62"/>
    </row>
    <row r="157" spans="2:11" x14ac:dyDescent="0.25">
      <c r="B157" s="62"/>
      <c r="C157" s="62"/>
      <c r="D157" s="62"/>
      <c r="E157" s="62"/>
      <c r="F157" s="62"/>
      <c r="G157" s="62"/>
      <c r="H157" s="62"/>
      <c r="I157" s="62"/>
      <c r="J157" s="62"/>
      <c r="K157" s="62"/>
    </row>
    <row r="158" spans="2:11" x14ac:dyDescent="0.25">
      <c r="B158" s="62"/>
      <c r="C158" s="62"/>
      <c r="D158" s="62"/>
      <c r="E158" s="62"/>
      <c r="F158" s="62"/>
      <c r="G158" s="62"/>
      <c r="H158" s="62"/>
      <c r="I158" s="62"/>
      <c r="J158" s="62"/>
      <c r="K158" s="62"/>
    </row>
    <row r="159" spans="2:11" x14ac:dyDescent="0.25">
      <c r="B159" s="62"/>
      <c r="C159" s="62"/>
      <c r="D159" s="62"/>
      <c r="E159" s="62"/>
      <c r="F159" s="62"/>
      <c r="G159" s="62"/>
      <c r="H159" s="62"/>
      <c r="I159" s="62"/>
      <c r="J159" s="62"/>
      <c r="K159" s="62"/>
    </row>
    <row r="160" spans="2:11" x14ac:dyDescent="0.25">
      <c r="B160" s="62"/>
      <c r="C160" s="62"/>
      <c r="D160" s="62"/>
      <c r="E160" s="62"/>
      <c r="F160" s="62"/>
      <c r="G160" s="62"/>
      <c r="H160" s="62"/>
      <c r="I160" s="62"/>
      <c r="J160" s="62"/>
      <c r="K160" s="62"/>
    </row>
  </sheetData>
  <sheetProtection sheet="1" objects="1" scenarios="1"/>
  <mergeCells count="1">
    <mergeCell ref="B2:C4"/>
  </mergeCells>
  <phoneticPr fontId="0" type="noConversion"/>
  <printOptions horizontalCentered="1"/>
  <pageMargins left="0.75" right="0.75" top="0.75" bottom="0.75" header="0.5" footer="0.25"/>
  <pageSetup scale="90"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B280"/>
  <sheetViews>
    <sheetView showGridLines="0" showZeros="0" zoomScaleNormal="100" workbookViewId="0">
      <pane xSplit="2" ySplit="6" topLeftCell="C7" activePane="bottomRight" state="frozen"/>
      <selection activeCell="C3" sqref="C3"/>
      <selection pane="topRight" activeCell="C3" sqref="C3"/>
      <selection pane="bottomLeft" activeCell="C3" sqref="C3"/>
      <selection pane="bottomRight" activeCell="A7" sqref="A7"/>
    </sheetView>
  </sheetViews>
  <sheetFormatPr defaultColWidth="8.9140625" defaultRowHeight="12.5" x14ac:dyDescent="0.25"/>
  <cols>
    <col min="1" max="1" width="25.4140625" style="260" customWidth="1"/>
    <col min="2" max="2" width="7.9140625" style="60" bestFit="1" customWidth="1"/>
    <col min="3" max="3" width="0.9140625" style="60" customWidth="1"/>
    <col min="4" max="4" width="7.08203125" style="58" customWidth="1"/>
    <col min="5" max="5" width="2.08203125" style="60" customWidth="1"/>
    <col min="6" max="6" width="7.08203125" style="58" customWidth="1"/>
    <col min="7" max="7" width="2.08203125" style="58" customWidth="1"/>
    <col min="8" max="8" width="7.33203125" style="58" bestFit="1" customWidth="1"/>
    <col min="9" max="9" width="2.08203125" style="58" customWidth="1"/>
    <col min="10" max="10" width="7.08203125" style="58" bestFit="1" customWidth="1"/>
    <col min="11" max="11" width="2.08203125" style="58" customWidth="1"/>
    <col min="12" max="12" width="6.33203125" style="58" bestFit="1" customWidth="1"/>
    <col min="13" max="13" width="14.6640625" style="58" bestFit="1" customWidth="1"/>
    <col min="14" max="14" width="9.33203125" style="58" bestFit="1" customWidth="1"/>
    <col min="15" max="15" width="0.9140625" style="58" customWidth="1"/>
    <col min="16" max="16" width="7.08203125" style="58" bestFit="1" customWidth="1"/>
    <col min="17" max="17" width="7.08203125" style="60" bestFit="1" customWidth="1"/>
    <col min="18" max="18" width="10.25" style="60" bestFit="1" customWidth="1"/>
    <col min="19" max="19" width="10.33203125" style="60" bestFit="1" customWidth="1"/>
    <col min="20" max="20" width="15.58203125" style="60" bestFit="1" customWidth="1"/>
    <col min="21" max="21" width="6" style="60" bestFit="1" customWidth="1"/>
    <col min="22" max="22" width="0.9140625" style="60" customWidth="1"/>
    <col min="23" max="23" width="6.6640625" style="60" bestFit="1" customWidth="1"/>
    <col min="24" max="24" width="5.9140625" style="60" bestFit="1" customWidth="1"/>
    <col min="25" max="25" width="6.9140625" style="60" bestFit="1" customWidth="1"/>
    <col min="26" max="26" width="9.33203125" style="60" customWidth="1"/>
    <col min="27" max="27" width="9.33203125" style="67" customWidth="1"/>
    <col min="28" max="28" width="0.9140625" style="60" customWidth="1"/>
    <col min="29" max="29" width="10.6640625" style="60" bestFit="1" customWidth="1"/>
    <col min="30" max="30" width="15.25" style="60" bestFit="1" customWidth="1"/>
    <col min="31" max="31" width="21.6640625" style="257" bestFit="1" customWidth="1"/>
    <col min="32" max="32" width="0.9140625" style="257" customWidth="1"/>
    <col min="33" max="33" width="16.75" style="55" customWidth="1"/>
    <col min="34" max="34" width="15.75" style="55" customWidth="1"/>
    <col min="35" max="35" width="11.08203125" style="55" customWidth="1"/>
    <col min="36" max="36" width="9" style="55"/>
    <col min="37" max="37" width="12.08203125" style="55" bestFit="1" customWidth="1"/>
    <col min="38" max="38" width="1.08203125" style="58" customWidth="1"/>
    <col min="39" max="39" width="9" style="60"/>
    <col min="40" max="40" width="11" style="59" customWidth="1"/>
    <col min="41" max="46" width="9" style="58"/>
    <col min="47" max="47" width="10" style="58" customWidth="1"/>
    <col min="48" max="50" width="9" style="58"/>
    <col min="51" max="69" width="8.9140625" style="204"/>
    <col min="70" max="70" width="10.08203125" style="204" customWidth="1"/>
    <col min="71" max="71" width="18.25" style="204" customWidth="1"/>
    <col min="72" max="82" width="8.9140625" style="204"/>
    <col min="83" max="83" width="44.33203125" style="204" customWidth="1"/>
    <col min="84" max="16384" width="8.9140625" style="204"/>
  </cols>
  <sheetData>
    <row r="1" spans="1:83" s="863" customFormat="1" ht="16" thickBot="1" x14ac:dyDescent="0.3">
      <c r="A1" s="948" t="s">
        <v>563</v>
      </c>
      <c r="B1" s="949"/>
      <c r="C1" s="861"/>
      <c r="D1" s="964" t="s">
        <v>104</v>
      </c>
      <c r="E1" s="964"/>
      <c r="F1" s="964"/>
      <c r="G1" s="964"/>
      <c r="H1" s="964"/>
      <c r="I1" s="964"/>
      <c r="J1" s="964"/>
      <c r="K1" s="964"/>
      <c r="L1" s="964"/>
      <c r="M1" s="964"/>
      <c r="N1" s="964"/>
      <c r="O1" s="964"/>
      <c r="P1" s="964"/>
      <c r="Q1" s="964"/>
      <c r="R1" s="964"/>
      <c r="S1" s="964"/>
      <c r="T1" s="964"/>
      <c r="U1" s="964"/>
      <c r="V1" s="964"/>
      <c r="W1" s="964"/>
      <c r="X1" s="964"/>
      <c r="Y1" s="964"/>
      <c r="Z1" s="964"/>
      <c r="AA1" s="964"/>
      <c r="AB1" s="285"/>
      <c r="AC1" s="970" t="s">
        <v>165</v>
      </c>
      <c r="AD1" s="956"/>
      <c r="AE1" s="956"/>
      <c r="AF1" s="286"/>
      <c r="AG1" s="952" t="s">
        <v>564</v>
      </c>
      <c r="AH1" s="953"/>
      <c r="AI1" s="953"/>
      <c r="AJ1" s="953"/>
      <c r="AK1" s="954"/>
      <c r="AL1" s="862"/>
      <c r="AM1" s="955" t="s">
        <v>565</v>
      </c>
      <c r="AN1" s="956"/>
      <c r="AO1" s="956"/>
      <c r="AP1" s="956"/>
      <c r="AQ1" s="956"/>
      <c r="AR1" s="957"/>
      <c r="AS1" s="861"/>
      <c r="AT1" s="861"/>
      <c r="AU1" s="861"/>
      <c r="AV1" s="861"/>
      <c r="AW1" s="861"/>
      <c r="AX1" s="861"/>
    </row>
    <row r="2" spans="1:83" s="218" customFormat="1" ht="15.5" x14ac:dyDescent="0.25">
      <c r="A2" s="950" t="s">
        <v>566</v>
      </c>
      <c r="B2" s="951"/>
      <c r="C2" s="205"/>
      <c r="D2" s="206"/>
      <c r="E2" s="207"/>
      <c r="F2" s="206"/>
      <c r="G2" s="206"/>
      <c r="H2" s="208"/>
      <c r="I2" s="208"/>
      <c r="J2" s="208"/>
      <c r="K2" s="209"/>
      <c r="L2" s="208"/>
      <c r="M2" s="208"/>
      <c r="N2" s="210"/>
      <c r="O2" s="211"/>
      <c r="P2" s="958" t="s">
        <v>529</v>
      </c>
      <c r="Q2" s="959"/>
      <c r="R2" s="959"/>
      <c r="S2" s="959"/>
      <c r="T2" s="960"/>
      <c r="U2" s="211"/>
      <c r="V2" s="213"/>
      <c r="W2" s="961" t="s">
        <v>530</v>
      </c>
      <c r="X2" s="962"/>
      <c r="Y2" s="962"/>
      <c r="Z2" s="962"/>
      <c r="AA2" s="963"/>
      <c r="AB2" s="214"/>
      <c r="AC2" s="215"/>
      <c r="AD2" s="59"/>
      <c r="AE2" s="216"/>
      <c r="AF2" s="217"/>
      <c r="AG2" s="261"/>
      <c r="AH2" s="262"/>
      <c r="AI2" s="263"/>
      <c r="AJ2" s="263"/>
      <c r="AK2" s="287"/>
      <c r="AL2" s="281"/>
      <c r="AM2" s="59"/>
      <c r="AN2" s="62"/>
      <c r="AO2" s="62"/>
      <c r="AP2" s="62"/>
      <c r="AQ2" s="62"/>
      <c r="AR2" s="62"/>
      <c r="AS2" s="62"/>
      <c r="AT2" s="62"/>
      <c r="AU2" s="62"/>
      <c r="AV2" s="62"/>
      <c r="AW2" s="62"/>
      <c r="AX2" s="62"/>
    </row>
    <row r="3" spans="1:83" s="218" customFormat="1" x14ac:dyDescent="0.25">
      <c r="A3" s="297"/>
      <c r="B3" s="211"/>
      <c r="C3" s="205"/>
      <c r="D3" s="965" t="s">
        <v>1008</v>
      </c>
      <c r="E3" s="965"/>
      <c r="F3" s="965"/>
      <c r="G3" s="965"/>
      <c r="H3" s="965"/>
      <c r="I3" s="965"/>
      <c r="J3" s="965"/>
      <c r="K3" s="219"/>
      <c r="L3" s="220"/>
      <c r="M3" s="220"/>
      <c r="N3" s="221"/>
      <c r="O3" s="220"/>
      <c r="P3" s="966" t="s">
        <v>1009</v>
      </c>
      <c r="Q3" s="967"/>
      <c r="R3" s="967"/>
      <c r="S3" s="967"/>
      <c r="T3" s="968"/>
      <c r="U3" s="220"/>
      <c r="V3" s="222"/>
      <c r="W3" s="223"/>
      <c r="X3" s="211"/>
      <c r="Y3" s="211"/>
      <c r="Z3" s="211" t="s">
        <v>462</v>
      </c>
      <c r="AA3" s="859"/>
      <c r="AB3" s="222"/>
      <c r="AC3" s="224"/>
      <c r="AD3" s="211"/>
      <c r="AE3" s="216"/>
      <c r="AF3" s="225"/>
      <c r="AG3" s="264"/>
      <c r="AH3" s="265"/>
      <c r="AI3" s="94"/>
      <c r="AJ3" s="94"/>
      <c r="AK3" s="288"/>
      <c r="AL3" s="281"/>
      <c r="AM3" s="59"/>
      <c r="AN3" s="62"/>
      <c r="AO3" s="62"/>
      <c r="AP3" s="62"/>
      <c r="AQ3" s="62"/>
      <c r="AR3" s="62"/>
      <c r="AS3" s="62"/>
      <c r="AT3" s="62"/>
      <c r="AU3" s="62"/>
      <c r="AV3" s="62"/>
      <c r="AW3" s="62"/>
      <c r="AX3" s="62"/>
    </row>
    <row r="4" spans="1:83" s="233" customFormat="1" ht="10.5" x14ac:dyDescent="0.25">
      <c r="A4" s="297"/>
      <c r="B4" s="211"/>
      <c r="C4" s="205"/>
      <c r="D4" s="965" t="s">
        <v>345</v>
      </c>
      <c r="E4" s="965"/>
      <c r="F4" s="965"/>
      <c r="G4" s="226"/>
      <c r="H4" s="969" t="s">
        <v>346</v>
      </c>
      <c r="I4" s="965"/>
      <c r="J4" s="965"/>
      <c r="K4" s="226"/>
      <c r="L4" s="227" t="s">
        <v>284</v>
      </c>
      <c r="M4" s="211" t="s">
        <v>567</v>
      </c>
      <c r="N4" s="205"/>
      <c r="O4" s="228"/>
      <c r="P4" s="229"/>
      <c r="Q4" s="230"/>
      <c r="R4" s="231" t="s">
        <v>463</v>
      </c>
      <c r="S4" s="231" t="s">
        <v>464</v>
      </c>
      <c r="T4" s="205" t="s">
        <v>105</v>
      </c>
      <c r="U4" s="211"/>
      <c r="V4" s="222"/>
      <c r="W4" s="223"/>
      <c r="X4" s="211"/>
      <c r="Y4" s="211" t="s">
        <v>285</v>
      </c>
      <c r="Z4" s="211" t="s">
        <v>466</v>
      </c>
      <c r="AA4" s="859"/>
      <c r="AB4" s="222"/>
      <c r="AC4" s="220"/>
      <c r="AD4" s="220"/>
      <c r="AE4" s="232"/>
      <c r="AF4" s="214"/>
      <c r="AG4" s="266"/>
      <c r="AH4" s="73"/>
      <c r="AI4" s="73"/>
      <c r="AJ4" s="73" t="s">
        <v>531</v>
      </c>
      <c r="AK4" s="74"/>
      <c r="AL4" s="282"/>
      <c r="AM4" s="59" t="s">
        <v>465</v>
      </c>
      <c r="AN4" s="59" t="s">
        <v>465</v>
      </c>
      <c r="AO4" s="59" t="s">
        <v>532</v>
      </c>
      <c r="AP4" s="59"/>
      <c r="AQ4" s="59"/>
      <c r="AR4" s="59"/>
      <c r="AS4" s="59"/>
      <c r="AT4" s="59"/>
      <c r="AU4" s="59"/>
      <c r="AV4" s="59"/>
      <c r="AW4" s="59"/>
      <c r="AX4" s="59"/>
    </row>
    <row r="5" spans="1:83" s="218" customFormat="1" x14ac:dyDescent="0.25">
      <c r="A5" s="298"/>
      <c r="B5" s="211"/>
      <c r="C5" s="234"/>
      <c r="D5" s="211" t="s">
        <v>106</v>
      </c>
      <c r="E5" s="235"/>
      <c r="F5" s="211" t="s">
        <v>107</v>
      </c>
      <c r="G5" s="235"/>
      <c r="H5" s="211" t="s">
        <v>108</v>
      </c>
      <c r="I5" s="235"/>
      <c r="J5" s="211" t="s">
        <v>109</v>
      </c>
      <c r="K5" s="235"/>
      <c r="L5" s="211" t="s">
        <v>110</v>
      </c>
      <c r="M5" s="211" t="s">
        <v>568</v>
      </c>
      <c r="N5" s="205" t="s">
        <v>110</v>
      </c>
      <c r="O5" s="211"/>
      <c r="P5" s="223" t="s">
        <v>287</v>
      </c>
      <c r="Q5" s="236" t="s">
        <v>347</v>
      </c>
      <c r="R5" s="237" t="s">
        <v>467</v>
      </c>
      <c r="S5" s="237" t="s">
        <v>468</v>
      </c>
      <c r="T5" s="238" t="s">
        <v>1010</v>
      </c>
      <c r="U5" s="211"/>
      <c r="V5" s="222"/>
      <c r="W5" s="223" t="s">
        <v>115</v>
      </c>
      <c r="X5" s="211" t="s">
        <v>347</v>
      </c>
      <c r="Y5" s="211" t="s">
        <v>347</v>
      </c>
      <c r="Z5" s="211" t="s">
        <v>470</v>
      </c>
      <c r="AA5" s="859" t="s">
        <v>570</v>
      </c>
      <c r="AB5" s="222"/>
      <c r="AC5" s="228" t="s">
        <v>17</v>
      </c>
      <c r="AD5" s="211" t="s">
        <v>112</v>
      </c>
      <c r="AE5" s="236" t="s">
        <v>113</v>
      </c>
      <c r="AF5" s="222"/>
      <c r="AG5" s="267"/>
      <c r="AH5" s="268"/>
      <c r="AI5" s="268"/>
      <c r="AJ5" s="269" t="s">
        <v>394</v>
      </c>
      <c r="AK5" s="289" t="s">
        <v>531</v>
      </c>
      <c r="AL5" s="282"/>
      <c r="AM5" s="59" t="s">
        <v>533</v>
      </c>
      <c r="AN5" s="59" t="s">
        <v>469</v>
      </c>
      <c r="AO5" s="59" t="s">
        <v>112</v>
      </c>
      <c r="AP5" s="62"/>
      <c r="AQ5" s="62"/>
      <c r="AR5" s="62"/>
      <c r="AS5" s="62"/>
      <c r="AT5" s="62"/>
      <c r="AU5" s="62"/>
      <c r="AV5" s="62"/>
      <c r="AW5" s="62"/>
      <c r="AX5" s="62"/>
    </row>
    <row r="6" spans="1:83" s="218" customFormat="1" ht="21.5" thickBot="1" x14ac:dyDescent="0.3">
      <c r="A6" s="299" t="s">
        <v>1057</v>
      </c>
      <c r="B6" s="239" t="s">
        <v>114</v>
      </c>
      <c r="C6" s="240"/>
      <c r="D6" s="239" t="s">
        <v>1040</v>
      </c>
      <c r="E6" s="241"/>
      <c r="F6" s="239" t="s">
        <v>1040</v>
      </c>
      <c r="G6" s="241"/>
      <c r="H6" s="239" t="s">
        <v>1040</v>
      </c>
      <c r="I6" s="241"/>
      <c r="J6" s="239" t="s">
        <v>1040</v>
      </c>
      <c r="K6" s="241"/>
      <c r="L6" s="239" t="s">
        <v>1040</v>
      </c>
      <c r="M6" s="239" t="s">
        <v>571</v>
      </c>
      <c r="N6" s="240" t="s">
        <v>360</v>
      </c>
      <c r="O6" s="239"/>
      <c r="P6" s="242" t="s">
        <v>1040</v>
      </c>
      <c r="Q6" s="243" t="s">
        <v>1040</v>
      </c>
      <c r="R6" s="244" t="s">
        <v>1040</v>
      </c>
      <c r="S6" s="244" t="s">
        <v>1040</v>
      </c>
      <c r="T6" s="245" t="s">
        <v>1040</v>
      </c>
      <c r="U6" s="239"/>
      <c r="V6" s="246"/>
      <c r="W6" s="242" t="s">
        <v>472</v>
      </c>
      <c r="X6" s="239" t="s">
        <v>1040</v>
      </c>
      <c r="Y6" s="239" t="s">
        <v>1040</v>
      </c>
      <c r="Z6" s="239" t="s">
        <v>1040</v>
      </c>
      <c r="AA6" s="860" t="s">
        <v>273</v>
      </c>
      <c r="AB6" s="246"/>
      <c r="AC6" s="239" t="s">
        <v>1040</v>
      </c>
      <c r="AD6" s="239" t="s">
        <v>116</v>
      </c>
      <c r="AE6" s="243" t="s">
        <v>117</v>
      </c>
      <c r="AF6" s="246"/>
      <c r="AG6" s="270" t="s">
        <v>534</v>
      </c>
      <c r="AH6" s="271" t="s">
        <v>535</v>
      </c>
      <c r="AI6" s="271" t="s">
        <v>536</v>
      </c>
      <c r="AJ6" s="271" t="s">
        <v>537</v>
      </c>
      <c r="AK6" s="290" t="s">
        <v>538</v>
      </c>
      <c r="AL6" s="283"/>
      <c r="AM6" s="247" t="s">
        <v>539</v>
      </c>
      <c r="AN6" s="248" t="s">
        <v>471</v>
      </c>
      <c r="AO6" s="248" t="s">
        <v>470</v>
      </c>
      <c r="AP6" s="249"/>
      <c r="AQ6" s="249"/>
      <c r="AR6" s="249"/>
      <c r="AS6" s="249"/>
      <c r="AT6" s="249"/>
      <c r="AU6" s="249"/>
      <c r="AV6" s="249"/>
      <c r="AW6" s="249"/>
      <c r="AX6" s="249"/>
      <c r="AY6" s="301"/>
      <c r="AZ6" s="301"/>
      <c r="BA6" s="301"/>
      <c r="BB6" s="301"/>
      <c r="BC6" s="301"/>
      <c r="BD6" s="301"/>
      <c r="BE6" s="301"/>
      <c r="BF6" s="301"/>
      <c r="BG6" s="301"/>
      <c r="BH6" s="301"/>
      <c r="BI6" s="301"/>
      <c r="BJ6" s="301"/>
      <c r="BK6" s="301"/>
      <c r="BL6" s="301"/>
      <c r="BM6" s="301"/>
      <c r="BN6" s="301"/>
      <c r="BO6" s="301"/>
      <c r="BP6" s="301"/>
      <c r="BQ6" s="301"/>
    </row>
    <row r="7" spans="1:83" s="218" customFormat="1" ht="20" x14ac:dyDescent="0.25">
      <c r="A7" s="692" t="s">
        <v>158</v>
      </c>
      <c r="B7" s="693" t="s">
        <v>766</v>
      </c>
      <c r="C7" s="694"/>
      <c r="D7" s="695"/>
      <c r="E7" s="696"/>
      <c r="F7" s="695"/>
      <c r="G7" s="696"/>
      <c r="H7" s="695"/>
      <c r="I7" s="696"/>
      <c r="J7" s="695"/>
      <c r="K7" s="696"/>
      <c r="L7" s="695">
        <f>MIN(D7,F7,H7,J7)</f>
        <v>0</v>
      </c>
      <c r="M7" s="695">
        <f t="shared" ref="M7:M70" si="0">IF(OR(L7=J7,L7=F7),L7,L7/10)</f>
        <v>0</v>
      </c>
      <c r="N7" s="754">
        <f>IF(M7=0,0,IF(M7=J7,"CCC(SW)",IF(M7=F7,"CCC(FW)",IF(M7=D7/10,"CMC(FW)/10","CMC(SW)/10"))))</f>
        <v>0</v>
      </c>
      <c r="O7" s="695"/>
      <c r="P7" s="697">
        <v>40</v>
      </c>
      <c r="Q7" s="698"/>
      <c r="R7" s="699"/>
      <c r="S7" s="699">
        <v>40</v>
      </c>
      <c r="T7" s="700" t="s">
        <v>572</v>
      </c>
      <c r="U7" s="695">
        <f>IF(T7=0,0,IF(T7=Q7/10,"(c)",0))</f>
        <v>0</v>
      </c>
      <c r="V7" s="701"/>
      <c r="W7" s="697"/>
      <c r="X7" s="695"/>
      <c r="Y7" s="695"/>
      <c r="Z7" s="695"/>
      <c r="AA7" s="751"/>
      <c r="AB7" s="701"/>
      <c r="AC7" s="697">
        <f>IF(M7&lt;&gt;0,M7,IF(S7&lt;&gt;0,S7,IF(Z7&lt;&gt;0,Z7,)))</f>
        <v>40</v>
      </c>
      <c r="AD7" s="750" t="s">
        <v>881</v>
      </c>
      <c r="AE7" s="702" t="s">
        <v>880</v>
      </c>
      <c r="AF7" s="703"/>
      <c r="AG7" s="272" t="s">
        <v>882</v>
      </c>
      <c r="AH7" s="273" t="s">
        <v>883</v>
      </c>
      <c r="AI7" s="274" t="s">
        <v>884</v>
      </c>
      <c r="AJ7" s="274">
        <v>480</v>
      </c>
      <c r="AK7" s="291" t="s">
        <v>550</v>
      </c>
      <c r="AL7" s="282"/>
      <c r="AM7" s="59">
        <v>56708</v>
      </c>
      <c r="AN7" s="250">
        <v>41031</v>
      </c>
      <c r="AO7" s="62" t="s">
        <v>886</v>
      </c>
      <c r="AP7" s="62"/>
      <c r="AQ7" s="62"/>
      <c r="AR7" s="62"/>
      <c r="AS7" s="62"/>
      <c r="AT7" s="62"/>
      <c r="AU7" s="62"/>
      <c r="AV7" s="62"/>
      <c r="AW7" s="62"/>
      <c r="AX7" s="62"/>
      <c r="CE7" s="218" t="s">
        <v>540</v>
      </c>
    </row>
    <row r="8" spans="1:83" s="218" customFormat="1" ht="10" x14ac:dyDescent="0.25">
      <c r="A8" s="704" t="s">
        <v>159</v>
      </c>
      <c r="B8" s="705" t="s">
        <v>767</v>
      </c>
      <c r="C8" s="706"/>
      <c r="D8" s="707"/>
      <c r="E8" s="708"/>
      <c r="F8" s="707"/>
      <c r="G8" s="708"/>
      <c r="H8" s="707"/>
      <c r="I8" s="708"/>
      <c r="J8" s="707"/>
      <c r="K8" s="708"/>
      <c r="L8" s="707">
        <f t="shared" ref="L8:L10" si="1">MIN(D8,F8,H8,J8)</f>
        <v>0</v>
      </c>
      <c r="M8" s="707">
        <f t="shared" si="0"/>
        <v>0</v>
      </c>
      <c r="N8" s="755">
        <f t="shared" ref="N8:N70" si="2">IF(M8=0,0,IF(M8=J8,"CCC(SW)",IF(M8=F8,"CCC(FW)",IF(M8=D8/10,"CMC(FW)/10","CMC(SW)/10"))))</f>
        <v>0</v>
      </c>
      <c r="O8" s="707"/>
      <c r="P8" s="709"/>
      <c r="Q8" s="710"/>
      <c r="R8" s="711"/>
      <c r="S8" s="711"/>
      <c r="T8" s="712"/>
      <c r="U8" s="707" t="s">
        <v>119</v>
      </c>
      <c r="V8" s="713"/>
      <c r="W8" s="709"/>
      <c r="X8" s="707"/>
      <c r="Y8" s="707"/>
      <c r="Z8" s="707"/>
      <c r="AA8" s="752"/>
      <c r="AB8" s="713"/>
      <c r="AC8" s="709">
        <v>0.14000000000000001</v>
      </c>
      <c r="AD8" s="748" t="s">
        <v>589</v>
      </c>
      <c r="AE8" s="714" t="s">
        <v>544</v>
      </c>
      <c r="AF8" s="715"/>
      <c r="AG8" s="272"/>
      <c r="AH8" s="273"/>
      <c r="AI8" s="274"/>
      <c r="AJ8" s="274"/>
      <c r="AK8" s="291"/>
      <c r="AL8" s="282"/>
      <c r="AM8" s="59"/>
      <c r="AN8" s="59"/>
      <c r="AO8" s="251" t="s">
        <v>545</v>
      </c>
      <c r="AP8" s="62"/>
      <c r="AQ8" s="62"/>
      <c r="AR8" s="62"/>
      <c r="AS8" s="62"/>
      <c r="AT8" s="62"/>
      <c r="AU8" s="62"/>
      <c r="AV8" s="62"/>
      <c r="AW8" s="62"/>
      <c r="AX8" s="62"/>
    </row>
    <row r="9" spans="1:83" s="218" customFormat="1" ht="10" x14ac:dyDescent="0.25">
      <c r="A9" s="704" t="s">
        <v>160</v>
      </c>
      <c r="B9" s="705" t="s">
        <v>768</v>
      </c>
      <c r="C9" s="706"/>
      <c r="D9" s="707"/>
      <c r="E9" s="708"/>
      <c r="F9" s="707"/>
      <c r="G9" s="708"/>
      <c r="H9" s="707"/>
      <c r="I9" s="708"/>
      <c r="J9" s="707"/>
      <c r="K9" s="708"/>
      <c r="L9" s="707">
        <f t="shared" si="1"/>
        <v>0</v>
      </c>
      <c r="M9" s="707">
        <f t="shared" si="0"/>
        <v>0</v>
      </c>
      <c r="N9" s="755">
        <f t="shared" si="2"/>
        <v>0</v>
      </c>
      <c r="O9" s="707"/>
      <c r="P9" s="716"/>
      <c r="Q9" s="717">
        <v>34000</v>
      </c>
      <c r="R9" s="718">
        <v>3400</v>
      </c>
      <c r="S9" s="718">
        <v>3400</v>
      </c>
      <c r="T9" s="712">
        <f>IF(MIN(Q9,P9)=Q9,Q9/10,P9)</f>
        <v>3400</v>
      </c>
      <c r="U9" s="707" t="str">
        <f t="shared" ref="U9:U23" si="3">IF(T9=0,0,IF(T9=Q9/10,"(c)",0))</f>
        <v>(c)</v>
      </c>
      <c r="V9" s="713"/>
      <c r="W9" s="719"/>
      <c r="X9" s="707"/>
      <c r="Y9" s="707"/>
      <c r="Z9" s="707"/>
      <c r="AA9" s="752"/>
      <c r="AB9" s="713"/>
      <c r="AC9" s="709">
        <f t="shared" ref="AC9:AC49" si="4">IF(M9&lt;&gt;0,M9,IF(S9&lt;&gt;0,S9,IF(Z9&lt;&gt;0,Z9,)))</f>
        <v>3400</v>
      </c>
      <c r="AD9" s="748" t="s">
        <v>474</v>
      </c>
      <c r="AE9" s="714" t="s">
        <v>573</v>
      </c>
      <c r="AF9" s="715"/>
      <c r="AG9" s="275" t="s">
        <v>574</v>
      </c>
      <c r="AH9" s="276" t="s">
        <v>575</v>
      </c>
      <c r="AI9" s="274" t="s">
        <v>549</v>
      </c>
      <c r="AJ9" s="274" t="s">
        <v>576</v>
      </c>
      <c r="AK9" s="291" t="s">
        <v>561</v>
      </c>
      <c r="AL9" s="282"/>
      <c r="AM9" s="59">
        <v>8099</v>
      </c>
      <c r="AN9" s="250">
        <v>36766</v>
      </c>
      <c r="AO9" s="62" t="s">
        <v>577</v>
      </c>
      <c r="AP9" s="62"/>
      <c r="AQ9" s="62"/>
      <c r="AR9" s="62"/>
      <c r="AS9" s="62"/>
      <c r="AT9" s="62"/>
      <c r="AU9" s="62"/>
      <c r="AV9" s="62"/>
      <c r="AW9" s="62"/>
      <c r="AX9" s="62"/>
      <c r="CE9" s="218" t="s">
        <v>546</v>
      </c>
    </row>
    <row r="10" spans="1:83" s="218" customFormat="1" ht="10" x14ac:dyDescent="0.25">
      <c r="A10" s="704" t="s">
        <v>161</v>
      </c>
      <c r="B10" s="705" t="s">
        <v>769</v>
      </c>
      <c r="C10" s="706"/>
      <c r="D10" s="707">
        <v>3</v>
      </c>
      <c r="E10" s="708"/>
      <c r="F10" s="707"/>
      <c r="G10" s="708"/>
      <c r="H10" s="707">
        <v>1.3</v>
      </c>
      <c r="I10" s="708"/>
      <c r="J10" s="707"/>
      <c r="K10" s="708"/>
      <c r="L10" s="707">
        <f t="shared" si="1"/>
        <v>1.3</v>
      </c>
      <c r="M10" s="707">
        <f t="shared" si="0"/>
        <v>0.13</v>
      </c>
      <c r="N10" s="755" t="str">
        <f t="shared" si="2"/>
        <v>CMC(SW)/10</v>
      </c>
      <c r="O10" s="707"/>
      <c r="P10" s="709"/>
      <c r="Q10" s="717"/>
      <c r="R10" s="718"/>
      <c r="S10" s="718"/>
      <c r="T10" s="712">
        <f t="shared" ref="T10:T73" si="5">IF(MIN(Q10,P10)=Q10,Q10/10,P10)</f>
        <v>0</v>
      </c>
      <c r="U10" s="707">
        <f t="shared" si="3"/>
        <v>0</v>
      </c>
      <c r="V10" s="713"/>
      <c r="W10" s="709"/>
      <c r="X10" s="707"/>
      <c r="Y10" s="707"/>
      <c r="Z10" s="707"/>
      <c r="AA10" s="752"/>
      <c r="AB10" s="713"/>
      <c r="AC10" s="709">
        <f t="shared" si="4"/>
        <v>0.13</v>
      </c>
      <c r="AD10" s="748" t="str">
        <f>IF(AC10=0,"No Data",IF(AC10=M10,N10,IF(AC10=Q10/10,"AQUIRE(ACUTE)/10",IF(AC10=P10,"AQUIRE(CHRONIC)",IF(AC10=W10,"Lowest Chronic","Tier II Chronic")))))</f>
        <v>CMC(SW)/10</v>
      </c>
      <c r="AE10" s="714" t="s">
        <v>118</v>
      </c>
      <c r="AF10" s="715"/>
      <c r="AG10" s="272"/>
      <c r="AH10" s="273"/>
      <c r="AI10" s="274"/>
      <c r="AJ10" s="274"/>
      <c r="AK10" s="291"/>
      <c r="AL10" s="282"/>
      <c r="AM10" s="59"/>
      <c r="AN10" s="250" t="s">
        <v>541</v>
      </c>
      <c r="AO10" s="62" t="s">
        <v>551</v>
      </c>
      <c r="AP10" s="62"/>
      <c r="AQ10" s="62"/>
      <c r="AR10" s="62"/>
      <c r="AS10" s="62"/>
      <c r="AT10" s="62"/>
      <c r="AU10" s="62"/>
      <c r="AV10" s="62"/>
      <c r="AW10" s="62"/>
      <c r="AX10" s="62"/>
      <c r="CE10" s="218" t="s">
        <v>578</v>
      </c>
    </row>
    <row r="11" spans="1:83" s="218" customFormat="1" ht="10" x14ac:dyDescent="0.25">
      <c r="A11" s="704" t="s">
        <v>162</v>
      </c>
      <c r="B11" s="705" t="s">
        <v>770</v>
      </c>
      <c r="C11" s="706"/>
      <c r="D11" s="707"/>
      <c r="E11" s="708"/>
      <c r="F11" s="707"/>
      <c r="G11" s="708"/>
      <c r="H11" s="707"/>
      <c r="I11" s="708"/>
      <c r="J11" s="707"/>
      <c r="K11" s="708"/>
      <c r="L11" s="707">
        <f t="shared" ref="L11:L70" si="6">MIN(D11,F11,H11,J11)</f>
        <v>0</v>
      </c>
      <c r="M11" s="707">
        <f t="shared" si="0"/>
        <v>0</v>
      </c>
      <c r="N11" s="755">
        <f t="shared" si="2"/>
        <v>0</v>
      </c>
      <c r="O11" s="707"/>
      <c r="P11" s="709"/>
      <c r="Q11" s="710">
        <v>1.27</v>
      </c>
      <c r="R11" s="720">
        <v>0.13</v>
      </c>
      <c r="S11" s="720">
        <v>0.13</v>
      </c>
      <c r="T11" s="712">
        <f t="shared" si="5"/>
        <v>0.127</v>
      </c>
      <c r="U11" s="707" t="str">
        <f t="shared" si="3"/>
        <v>(c)</v>
      </c>
      <c r="V11" s="721"/>
      <c r="W11" s="709"/>
      <c r="X11" s="707"/>
      <c r="Y11" s="707"/>
      <c r="Z11" s="707"/>
      <c r="AA11" s="752"/>
      <c r="AB11" s="713"/>
      <c r="AC11" s="709">
        <f t="shared" si="4"/>
        <v>0.13</v>
      </c>
      <c r="AD11" s="748" t="s">
        <v>474</v>
      </c>
      <c r="AE11" s="714" t="s">
        <v>120</v>
      </c>
      <c r="AF11" s="715"/>
      <c r="AG11" s="275" t="s">
        <v>552</v>
      </c>
      <c r="AH11" s="276" t="s">
        <v>553</v>
      </c>
      <c r="AI11" s="274" t="s">
        <v>549</v>
      </c>
      <c r="AJ11" s="274" t="s">
        <v>554</v>
      </c>
      <c r="AK11" s="291" t="s">
        <v>550</v>
      </c>
      <c r="AL11" s="282"/>
      <c r="AM11" s="59">
        <v>3862</v>
      </c>
      <c r="AN11" s="250">
        <v>36780</v>
      </c>
      <c r="AO11" s="216" t="s">
        <v>555</v>
      </c>
      <c r="AP11" s="62"/>
      <c r="AQ11" s="62"/>
      <c r="AR11" s="62"/>
      <c r="AS11" s="62"/>
      <c r="AT11" s="62"/>
      <c r="AU11" s="62"/>
      <c r="AV11" s="62"/>
      <c r="AW11" s="62"/>
      <c r="AX11" s="62"/>
    </row>
    <row r="12" spans="1:83" s="218" customFormat="1" ht="20" x14ac:dyDescent="0.25">
      <c r="A12" s="704" t="s">
        <v>163</v>
      </c>
      <c r="B12" s="705" t="s">
        <v>771</v>
      </c>
      <c r="C12" s="706"/>
      <c r="D12" s="707"/>
      <c r="E12" s="708"/>
      <c r="F12" s="707"/>
      <c r="G12" s="708"/>
      <c r="H12" s="707"/>
      <c r="I12" s="708"/>
      <c r="J12" s="707"/>
      <c r="K12" s="708"/>
      <c r="L12" s="707">
        <f t="shared" si="6"/>
        <v>0</v>
      </c>
      <c r="M12" s="707">
        <f t="shared" si="0"/>
        <v>0</v>
      </c>
      <c r="N12" s="755">
        <f t="shared" si="2"/>
        <v>0</v>
      </c>
      <c r="O12" s="707"/>
      <c r="P12" s="709">
        <v>300</v>
      </c>
      <c r="Q12" s="710"/>
      <c r="R12" s="720"/>
      <c r="S12" s="720">
        <v>300</v>
      </c>
      <c r="T12" s="712">
        <f t="shared" si="5"/>
        <v>300</v>
      </c>
      <c r="U12" s="707">
        <f t="shared" si="3"/>
        <v>0</v>
      </c>
      <c r="V12" s="721"/>
      <c r="W12" s="709"/>
      <c r="X12" s="707"/>
      <c r="Y12" s="707"/>
      <c r="Z12" s="707"/>
      <c r="AA12" s="752"/>
      <c r="AB12" s="713"/>
      <c r="AC12" s="709">
        <f t="shared" si="4"/>
        <v>300</v>
      </c>
      <c r="AD12" s="748" t="s">
        <v>475</v>
      </c>
      <c r="AE12" s="714" t="s">
        <v>456</v>
      </c>
      <c r="AF12" s="715"/>
      <c r="AG12" s="275" t="s">
        <v>556</v>
      </c>
      <c r="AH12" s="276" t="s">
        <v>557</v>
      </c>
      <c r="AI12" s="274" t="s">
        <v>549</v>
      </c>
      <c r="AJ12" s="274">
        <v>168</v>
      </c>
      <c r="AK12" s="291" t="s">
        <v>558</v>
      </c>
      <c r="AL12" s="282"/>
      <c r="AM12" s="59">
        <v>5305</v>
      </c>
      <c r="AN12" s="250">
        <v>36780</v>
      </c>
      <c r="AO12" s="216" t="s">
        <v>559</v>
      </c>
      <c r="AP12" s="62"/>
      <c r="AQ12" s="62"/>
      <c r="AR12" s="62"/>
      <c r="AS12" s="62"/>
      <c r="AT12" s="62"/>
      <c r="AU12" s="62"/>
      <c r="AV12" s="62"/>
      <c r="AW12" s="62"/>
      <c r="AX12" s="62"/>
    </row>
    <row r="13" spans="1:83" s="218" customFormat="1" ht="10" x14ac:dyDescent="0.25">
      <c r="A13" s="704" t="s">
        <v>164</v>
      </c>
      <c r="B13" s="705" t="s">
        <v>772</v>
      </c>
      <c r="C13" s="706"/>
      <c r="D13" s="707">
        <v>340</v>
      </c>
      <c r="E13" s="708"/>
      <c r="F13" s="707">
        <v>150</v>
      </c>
      <c r="G13" s="708"/>
      <c r="H13" s="707">
        <v>69</v>
      </c>
      <c r="I13" s="708"/>
      <c r="J13" s="707">
        <v>36</v>
      </c>
      <c r="K13" s="708"/>
      <c r="L13" s="707">
        <f t="shared" si="6"/>
        <v>36</v>
      </c>
      <c r="M13" s="707">
        <f t="shared" si="0"/>
        <v>36</v>
      </c>
      <c r="N13" s="755" t="str">
        <f t="shared" si="2"/>
        <v>CCC(SW)</v>
      </c>
      <c r="O13" s="707"/>
      <c r="P13" s="709"/>
      <c r="Q13" s="710"/>
      <c r="R13" s="720"/>
      <c r="S13" s="720"/>
      <c r="T13" s="712">
        <f t="shared" si="5"/>
        <v>0</v>
      </c>
      <c r="U13" s="707">
        <f t="shared" si="3"/>
        <v>0</v>
      </c>
      <c r="V13" s="713"/>
      <c r="W13" s="709"/>
      <c r="X13" s="707"/>
      <c r="Y13" s="707"/>
      <c r="Z13" s="707"/>
      <c r="AA13" s="752"/>
      <c r="AB13" s="713"/>
      <c r="AC13" s="709">
        <f t="shared" si="4"/>
        <v>36</v>
      </c>
      <c r="AD13" s="748" t="str">
        <f>IF(AC13=0,"No Data",IF(AC13=M13,N13,IF(AC13=Q13/10,"AQUIRE(ACUTE)/10",IF(AC13=P13,"AQUIRE(CHRONIC)",IF(AC13=W13,"Lowest Chronic","Tier II Chronic")))))</f>
        <v>CCC(SW)</v>
      </c>
      <c r="AE13" s="714" t="s">
        <v>118</v>
      </c>
      <c r="AF13" s="715"/>
      <c r="AG13" s="272" t="s">
        <v>541</v>
      </c>
      <c r="AH13" s="273" t="s">
        <v>541</v>
      </c>
      <c r="AI13" s="274"/>
      <c r="AJ13" s="274"/>
      <c r="AK13" s="291"/>
      <c r="AL13" s="282"/>
      <c r="AM13" s="59" t="s">
        <v>541</v>
      </c>
      <c r="AN13" s="59" t="s">
        <v>541</v>
      </c>
      <c r="AO13" s="62" t="s">
        <v>543</v>
      </c>
      <c r="AP13" s="62"/>
      <c r="AQ13" s="62"/>
      <c r="AR13" s="62"/>
      <c r="AS13" s="62"/>
      <c r="AT13" s="62"/>
      <c r="AU13" s="62"/>
      <c r="AV13" s="62"/>
      <c r="AW13" s="62"/>
      <c r="AX13" s="62"/>
      <c r="CE13" s="218" t="s">
        <v>560</v>
      </c>
    </row>
    <row r="14" spans="1:83" s="218" customFormat="1" ht="10" x14ac:dyDescent="0.25">
      <c r="A14" s="704" t="s">
        <v>166</v>
      </c>
      <c r="B14" s="705" t="s">
        <v>773</v>
      </c>
      <c r="C14" s="706"/>
      <c r="D14" s="707"/>
      <c r="E14" s="708"/>
      <c r="F14" s="707"/>
      <c r="G14" s="708"/>
      <c r="H14" s="707"/>
      <c r="I14" s="708"/>
      <c r="J14" s="707"/>
      <c r="K14" s="708"/>
      <c r="L14" s="707">
        <f t="shared" si="6"/>
        <v>0</v>
      </c>
      <c r="M14" s="707">
        <f t="shared" si="0"/>
        <v>0</v>
      </c>
      <c r="N14" s="755">
        <f t="shared" si="2"/>
        <v>0</v>
      </c>
      <c r="O14" s="707"/>
      <c r="P14" s="709"/>
      <c r="Q14" s="717"/>
      <c r="R14" s="718"/>
      <c r="S14" s="718"/>
      <c r="T14" s="712">
        <f t="shared" si="5"/>
        <v>0</v>
      </c>
      <c r="U14" s="707">
        <f t="shared" si="3"/>
        <v>0</v>
      </c>
      <c r="V14" s="713"/>
      <c r="W14" s="709"/>
      <c r="X14" s="722">
        <v>410000</v>
      </c>
      <c r="Y14" s="722">
        <v>41000</v>
      </c>
      <c r="Z14" s="722">
        <v>41000</v>
      </c>
      <c r="AA14" s="752" t="s">
        <v>476</v>
      </c>
      <c r="AB14" s="713"/>
      <c r="AC14" s="709">
        <f t="shared" si="4"/>
        <v>41000</v>
      </c>
      <c r="AD14" s="748" t="s">
        <v>474</v>
      </c>
      <c r="AE14" s="714" t="s">
        <v>123</v>
      </c>
      <c r="AF14" s="715"/>
      <c r="AG14" s="275" t="s">
        <v>547</v>
      </c>
      <c r="AH14" s="276" t="s">
        <v>548</v>
      </c>
      <c r="AI14" s="274" t="s">
        <v>549</v>
      </c>
      <c r="AJ14" s="274">
        <v>48</v>
      </c>
      <c r="AK14" s="291" t="s">
        <v>561</v>
      </c>
      <c r="AL14" s="282"/>
      <c r="AM14" s="59">
        <v>5184</v>
      </c>
      <c r="AN14" s="250">
        <v>36780</v>
      </c>
      <c r="AO14" s="252" t="s">
        <v>562</v>
      </c>
      <c r="AP14" s="62"/>
      <c r="AQ14" s="62"/>
      <c r="AR14" s="62"/>
      <c r="AS14" s="62"/>
      <c r="AT14" s="62"/>
      <c r="AU14" s="62"/>
      <c r="AV14" s="62"/>
      <c r="AW14" s="62"/>
      <c r="AX14" s="62"/>
    </row>
    <row r="15" spans="1:83" s="218" customFormat="1" ht="10" x14ac:dyDescent="0.25">
      <c r="A15" s="704" t="s">
        <v>167</v>
      </c>
      <c r="B15" s="705" t="s">
        <v>774</v>
      </c>
      <c r="C15" s="706"/>
      <c r="D15" s="707"/>
      <c r="E15" s="708"/>
      <c r="F15" s="707"/>
      <c r="G15" s="708"/>
      <c r="H15" s="707"/>
      <c r="I15" s="708"/>
      <c r="J15" s="707"/>
      <c r="K15" s="708"/>
      <c r="L15" s="707">
        <f t="shared" si="6"/>
        <v>0</v>
      </c>
      <c r="M15" s="707">
        <f t="shared" si="0"/>
        <v>0</v>
      </c>
      <c r="N15" s="755">
        <f t="shared" si="2"/>
        <v>0</v>
      </c>
      <c r="O15" s="707"/>
      <c r="P15" s="709"/>
      <c r="Q15" s="717">
        <v>4600</v>
      </c>
      <c r="R15" s="720">
        <v>460</v>
      </c>
      <c r="S15" s="720">
        <v>460</v>
      </c>
      <c r="T15" s="712">
        <f t="shared" si="5"/>
        <v>460</v>
      </c>
      <c r="U15" s="707" t="str">
        <f t="shared" si="3"/>
        <v>(c)</v>
      </c>
      <c r="V15" s="721"/>
      <c r="W15" s="709"/>
      <c r="X15" s="707"/>
      <c r="Y15" s="707"/>
      <c r="Z15" s="707"/>
      <c r="AA15" s="752"/>
      <c r="AB15" s="713"/>
      <c r="AC15" s="709">
        <f t="shared" si="4"/>
        <v>460</v>
      </c>
      <c r="AD15" s="748" t="s">
        <v>474</v>
      </c>
      <c r="AE15" s="714" t="s">
        <v>477</v>
      </c>
      <c r="AF15" s="715"/>
      <c r="AG15" s="275" t="s">
        <v>591</v>
      </c>
      <c r="AH15" s="276" t="s">
        <v>592</v>
      </c>
      <c r="AI15" s="274" t="s">
        <v>549</v>
      </c>
      <c r="AJ15" s="274">
        <v>96</v>
      </c>
      <c r="AK15" s="291" t="s">
        <v>561</v>
      </c>
      <c r="AL15" s="282"/>
      <c r="AM15" s="59">
        <v>5622</v>
      </c>
      <c r="AN15" s="250">
        <v>36766</v>
      </c>
      <c r="AO15" s="62" t="s">
        <v>593</v>
      </c>
      <c r="AP15" s="62"/>
      <c r="AQ15" s="62"/>
      <c r="AR15" s="62"/>
      <c r="AS15" s="62"/>
      <c r="AT15" s="62"/>
      <c r="AU15" s="62"/>
      <c r="AV15" s="62"/>
      <c r="AW15" s="62"/>
      <c r="AX15" s="62"/>
    </row>
    <row r="16" spans="1:83" s="218" customFormat="1" ht="10" x14ac:dyDescent="0.25">
      <c r="A16" s="704" t="s">
        <v>168</v>
      </c>
      <c r="B16" s="705" t="s">
        <v>775</v>
      </c>
      <c r="C16" s="706"/>
      <c r="D16" s="707"/>
      <c r="E16" s="708"/>
      <c r="F16" s="707"/>
      <c r="G16" s="708"/>
      <c r="H16" s="707"/>
      <c r="I16" s="708"/>
      <c r="J16" s="707"/>
      <c r="K16" s="708"/>
      <c r="L16" s="707">
        <f t="shared" si="6"/>
        <v>0</v>
      </c>
      <c r="M16" s="707">
        <f t="shared" si="0"/>
        <v>0</v>
      </c>
      <c r="N16" s="755">
        <f t="shared" si="2"/>
        <v>0</v>
      </c>
      <c r="O16" s="707"/>
      <c r="P16" s="709"/>
      <c r="Q16" s="710">
        <v>10</v>
      </c>
      <c r="R16" s="720">
        <v>1</v>
      </c>
      <c r="S16" s="720">
        <v>1</v>
      </c>
      <c r="T16" s="712">
        <f t="shared" si="5"/>
        <v>1</v>
      </c>
      <c r="U16" s="707" t="str">
        <f t="shared" si="3"/>
        <v>(c)</v>
      </c>
      <c r="V16" s="721"/>
      <c r="W16" s="709"/>
      <c r="X16" s="707"/>
      <c r="Y16" s="707"/>
      <c r="Z16" s="707"/>
      <c r="AA16" s="752"/>
      <c r="AB16" s="713"/>
      <c r="AC16" s="709">
        <f t="shared" si="4"/>
        <v>1</v>
      </c>
      <c r="AD16" s="748" t="s">
        <v>474</v>
      </c>
      <c r="AE16" s="714" t="s">
        <v>478</v>
      </c>
      <c r="AF16" s="715"/>
      <c r="AG16" s="275" t="s">
        <v>595</v>
      </c>
      <c r="AH16" s="276" t="s">
        <v>548</v>
      </c>
      <c r="AI16" s="274" t="s">
        <v>549</v>
      </c>
      <c r="AJ16" s="274">
        <v>96</v>
      </c>
      <c r="AK16" s="291" t="s">
        <v>561</v>
      </c>
      <c r="AL16" s="282"/>
      <c r="AM16" s="59">
        <v>15337</v>
      </c>
      <c r="AN16" s="250">
        <v>36783</v>
      </c>
      <c r="AO16" s="216" t="s">
        <v>596</v>
      </c>
      <c r="AP16" s="62"/>
      <c r="AQ16" s="62"/>
      <c r="AR16" s="62"/>
      <c r="AS16" s="62"/>
      <c r="AT16" s="62"/>
      <c r="AU16" s="62"/>
      <c r="AV16" s="62"/>
      <c r="AW16" s="62"/>
      <c r="AX16" s="62"/>
      <c r="CE16" s="218" t="s">
        <v>594</v>
      </c>
    </row>
    <row r="17" spans="1:83" s="218" customFormat="1" ht="10" x14ac:dyDescent="0.25">
      <c r="A17" s="704" t="s">
        <v>169</v>
      </c>
      <c r="B17" s="705" t="s">
        <v>776</v>
      </c>
      <c r="C17" s="706"/>
      <c r="D17" s="707"/>
      <c r="E17" s="708"/>
      <c r="F17" s="707"/>
      <c r="G17" s="708"/>
      <c r="H17" s="707"/>
      <c r="I17" s="708"/>
      <c r="J17" s="707"/>
      <c r="K17" s="708"/>
      <c r="L17" s="707">
        <f t="shared" si="6"/>
        <v>0</v>
      </c>
      <c r="M17" s="707">
        <f t="shared" si="0"/>
        <v>0</v>
      </c>
      <c r="N17" s="755">
        <f t="shared" si="2"/>
        <v>0</v>
      </c>
      <c r="O17" s="707"/>
      <c r="P17" s="709"/>
      <c r="Q17" s="710">
        <v>5</v>
      </c>
      <c r="R17" s="720">
        <v>0.5</v>
      </c>
      <c r="S17" s="720">
        <v>0.5</v>
      </c>
      <c r="T17" s="712">
        <f t="shared" si="5"/>
        <v>0.5</v>
      </c>
      <c r="U17" s="707" t="str">
        <f t="shared" si="3"/>
        <v>(c)</v>
      </c>
      <c r="V17" s="721"/>
      <c r="W17" s="723"/>
      <c r="X17" s="724"/>
      <c r="Y17" s="724"/>
      <c r="Z17" s="724"/>
      <c r="AA17" s="752"/>
      <c r="AB17" s="713"/>
      <c r="AC17" s="709">
        <f t="shared" si="4"/>
        <v>0.5</v>
      </c>
      <c r="AD17" s="748" t="s">
        <v>474</v>
      </c>
      <c r="AE17" s="714" t="s">
        <v>478</v>
      </c>
      <c r="AF17" s="715"/>
      <c r="AG17" s="275" t="s">
        <v>595</v>
      </c>
      <c r="AH17" s="276" t="s">
        <v>548</v>
      </c>
      <c r="AI17" s="274" t="s">
        <v>549</v>
      </c>
      <c r="AJ17" s="274">
        <v>96</v>
      </c>
      <c r="AK17" s="291" t="s">
        <v>561</v>
      </c>
      <c r="AL17" s="282"/>
      <c r="AM17" s="59">
        <v>15337</v>
      </c>
      <c r="AN17" s="250">
        <v>36783</v>
      </c>
      <c r="AO17" s="216" t="s">
        <v>596</v>
      </c>
      <c r="AP17" s="62"/>
      <c r="AQ17" s="62"/>
      <c r="AR17" s="62"/>
      <c r="AS17" s="62"/>
      <c r="AT17" s="62"/>
      <c r="AU17" s="62"/>
      <c r="AV17" s="62"/>
      <c r="AW17" s="62"/>
      <c r="AX17" s="62"/>
    </row>
    <row r="18" spans="1:83" s="218" customFormat="1" ht="10" x14ac:dyDescent="0.25">
      <c r="A18" s="704" t="s">
        <v>170</v>
      </c>
      <c r="B18" s="705" t="s">
        <v>777</v>
      </c>
      <c r="C18" s="706"/>
      <c r="D18" s="707"/>
      <c r="E18" s="708"/>
      <c r="F18" s="707"/>
      <c r="G18" s="708"/>
      <c r="H18" s="707"/>
      <c r="I18" s="708"/>
      <c r="J18" s="707"/>
      <c r="K18" s="708"/>
      <c r="L18" s="707">
        <f t="shared" si="6"/>
        <v>0</v>
      </c>
      <c r="M18" s="707">
        <f t="shared" si="0"/>
        <v>0</v>
      </c>
      <c r="N18" s="755">
        <f t="shared" si="2"/>
        <v>0</v>
      </c>
      <c r="O18" s="707"/>
      <c r="P18" s="709"/>
      <c r="Q18" s="725">
        <v>4.2</v>
      </c>
      <c r="R18" s="720">
        <v>0.42</v>
      </c>
      <c r="S18" s="720">
        <v>0.42</v>
      </c>
      <c r="T18" s="712">
        <f t="shared" si="5"/>
        <v>0.42000000000000004</v>
      </c>
      <c r="U18" s="707" t="str">
        <f t="shared" si="3"/>
        <v>(c)</v>
      </c>
      <c r="V18" s="721"/>
      <c r="W18" s="709"/>
      <c r="X18" s="707"/>
      <c r="Y18" s="707"/>
      <c r="Z18" s="707"/>
      <c r="AA18" s="752"/>
      <c r="AB18" s="713"/>
      <c r="AC18" s="709">
        <f t="shared" si="4"/>
        <v>0.42</v>
      </c>
      <c r="AD18" s="748" t="s">
        <v>479</v>
      </c>
      <c r="AE18" s="714" t="s">
        <v>121</v>
      </c>
      <c r="AF18" s="715"/>
      <c r="AG18" s="275" t="s">
        <v>547</v>
      </c>
      <c r="AH18" s="276" t="s">
        <v>548</v>
      </c>
      <c r="AI18" s="274" t="s">
        <v>597</v>
      </c>
      <c r="AJ18" s="274">
        <v>24</v>
      </c>
      <c r="AK18" s="291" t="s">
        <v>561</v>
      </c>
      <c r="AL18" s="282"/>
      <c r="AM18" s="59" t="s">
        <v>91</v>
      </c>
      <c r="AN18" s="250">
        <v>36899</v>
      </c>
      <c r="AO18" s="62" t="s">
        <v>598</v>
      </c>
      <c r="AP18" s="62"/>
      <c r="AQ18" s="62"/>
      <c r="AR18" s="62"/>
      <c r="AS18" s="62"/>
      <c r="AT18" s="62"/>
      <c r="AU18" s="62"/>
      <c r="AV18" s="62"/>
      <c r="AW18" s="62"/>
      <c r="AX18" s="62"/>
    </row>
    <row r="19" spans="1:83" s="218" customFormat="1" ht="10" x14ac:dyDescent="0.25">
      <c r="A19" s="704" t="s">
        <v>171</v>
      </c>
      <c r="B19" s="705" t="s">
        <v>778</v>
      </c>
      <c r="C19" s="706"/>
      <c r="D19" s="707"/>
      <c r="E19" s="708"/>
      <c r="F19" s="707"/>
      <c r="G19" s="708"/>
      <c r="H19" s="707"/>
      <c r="I19" s="708"/>
      <c r="J19" s="707"/>
      <c r="K19" s="708"/>
      <c r="L19" s="707">
        <f t="shared" si="6"/>
        <v>0</v>
      </c>
      <c r="M19" s="707">
        <f t="shared" si="0"/>
        <v>0</v>
      </c>
      <c r="N19" s="755">
        <f t="shared" si="2"/>
        <v>0</v>
      </c>
      <c r="O19" s="707"/>
      <c r="P19" s="709"/>
      <c r="Q19" s="710">
        <v>0.2</v>
      </c>
      <c r="R19" s="720">
        <v>0.02</v>
      </c>
      <c r="S19" s="720">
        <v>0.02</v>
      </c>
      <c r="T19" s="712">
        <f t="shared" si="5"/>
        <v>0.02</v>
      </c>
      <c r="U19" s="707" t="str">
        <f t="shared" si="3"/>
        <v>(c)</v>
      </c>
      <c r="V19" s="721"/>
      <c r="W19" s="709"/>
      <c r="X19" s="707"/>
      <c r="Y19" s="707"/>
      <c r="Z19" s="707"/>
      <c r="AA19" s="752"/>
      <c r="AB19" s="713"/>
      <c r="AC19" s="709">
        <f t="shared" si="4"/>
        <v>0.02</v>
      </c>
      <c r="AD19" s="748" t="s">
        <v>474</v>
      </c>
      <c r="AE19" s="714" t="s">
        <v>122</v>
      </c>
      <c r="AF19" s="715"/>
      <c r="AG19" s="275" t="s">
        <v>547</v>
      </c>
      <c r="AH19" s="276" t="s">
        <v>548</v>
      </c>
      <c r="AI19" s="274" t="s">
        <v>549</v>
      </c>
      <c r="AJ19" s="274">
        <v>14</v>
      </c>
      <c r="AK19" s="291" t="s">
        <v>558</v>
      </c>
      <c r="AL19" s="282"/>
      <c r="AM19" s="59">
        <v>12675</v>
      </c>
      <c r="AN19" s="250">
        <v>36899</v>
      </c>
      <c r="AO19" s="62" t="s">
        <v>599</v>
      </c>
      <c r="AP19" s="62"/>
      <c r="AQ19" s="62"/>
      <c r="AR19" s="62"/>
      <c r="AS19" s="62"/>
      <c r="AT19" s="62"/>
      <c r="AU19" s="62"/>
      <c r="AV19" s="62"/>
      <c r="AW19" s="62"/>
      <c r="AX19" s="62"/>
    </row>
    <row r="20" spans="1:83" s="218" customFormat="1" ht="10" x14ac:dyDescent="0.25">
      <c r="A20" s="704" t="s">
        <v>172</v>
      </c>
      <c r="B20" s="705" t="s">
        <v>779</v>
      </c>
      <c r="C20" s="706"/>
      <c r="D20" s="707"/>
      <c r="E20" s="708"/>
      <c r="F20" s="707"/>
      <c r="G20" s="708"/>
      <c r="H20" s="707"/>
      <c r="I20" s="708"/>
      <c r="J20" s="707"/>
      <c r="K20" s="708"/>
      <c r="L20" s="707">
        <f t="shared" si="6"/>
        <v>0</v>
      </c>
      <c r="M20" s="707">
        <f t="shared" si="0"/>
        <v>0</v>
      </c>
      <c r="N20" s="755">
        <f t="shared" si="2"/>
        <v>0</v>
      </c>
      <c r="O20" s="707"/>
      <c r="P20" s="709"/>
      <c r="Q20" s="710">
        <v>1.4</v>
      </c>
      <c r="R20" s="720">
        <v>0.14000000000000001</v>
      </c>
      <c r="S20" s="720">
        <v>0.14000000000000001</v>
      </c>
      <c r="T20" s="712">
        <f t="shared" si="5"/>
        <v>0.13999999999999999</v>
      </c>
      <c r="U20" s="707" t="str">
        <f t="shared" si="3"/>
        <v>(c)</v>
      </c>
      <c r="V20" s="721"/>
      <c r="W20" s="709"/>
      <c r="X20" s="707"/>
      <c r="Y20" s="707"/>
      <c r="Z20" s="707"/>
      <c r="AA20" s="752"/>
      <c r="AB20" s="713"/>
      <c r="AC20" s="709">
        <f t="shared" si="4"/>
        <v>0.14000000000000001</v>
      </c>
      <c r="AD20" s="748" t="s">
        <v>474</v>
      </c>
      <c r="AE20" s="714" t="s">
        <v>122</v>
      </c>
      <c r="AF20" s="715"/>
      <c r="AG20" s="275" t="s">
        <v>547</v>
      </c>
      <c r="AH20" s="276" t="s">
        <v>548</v>
      </c>
      <c r="AI20" s="274" t="s">
        <v>549</v>
      </c>
      <c r="AJ20" s="274">
        <v>13</v>
      </c>
      <c r="AK20" s="291" t="s">
        <v>558</v>
      </c>
      <c r="AL20" s="282"/>
      <c r="AM20" s="59">
        <v>12675</v>
      </c>
      <c r="AN20" s="250">
        <v>36899</v>
      </c>
      <c r="AO20" s="62" t="s">
        <v>599</v>
      </c>
      <c r="AP20" s="62"/>
      <c r="AQ20" s="62"/>
      <c r="AR20" s="62"/>
      <c r="AS20" s="62"/>
      <c r="AT20" s="62"/>
      <c r="AU20" s="62"/>
      <c r="AV20" s="62"/>
      <c r="AW20" s="62"/>
      <c r="AX20" s="62"/>
    </row>
    <row r="21" spans="1:83" s="218" customFormat="1" ht="10" x14ac:dyDescent="0.25">
      <c r="A21" s="704" t="s">
        <v>173</v>
      </c>
      <c r="B21" s="705" t="s">
        <v>780</v>
      </c>
      <c r="C21" s="706"/>
      <c r="D21" s="707"/>
      <c r="E21" s="708"/>
      <c r="F21" s="707"/>
      <c r="G21" s="708"/>
      <c r="H21" s="707"/>
      <c r="I21" s="708"/>
      <c r="J21" s="707"/>
      <c r="K21" s="708"/>
      <c r="L21" s="707">
        <f t="shared" si="6"/>
        <v>0</v>
      </c>
      <c r="M21" s="707">
        <f t="shared" si="0"/>
        <v>0</v>
      </c>
      <c r="N21" s="755">
        <f t="shared" si="2"/>
        <v>0</v>
      </c>
      <c r="O21" s="707"/>
      <c r="P21" s="709">
        <v>7.3</v>
      </c>
      <c r="Q21" s="710"/>
      <c r="R21" s="720"/>
      <c r="S21" s="720">
        <v>7.3</v>
      </c>
      <c r="T21" s="712">
        <f t="shared" si="5"/>
        <v>7.3</v>
      </c>
      <c r="U21" s="707">
        <f t="shared" si="3"/>
        <v>0</v>
      </c>
      <c r="V21" s="721"/>
      <c r="W21" s="709"/>
      <c r="X21" s="707"/>
      <c r="Y21" s="707"/>
      <c r="Z21" s="707"/>
      <c r="AA21" s="752"/>
      <c r="AB21" s="713"/>
      <c r="AC21" s="709">
        <f t="shared" si="4"/>
        <v>7.3</v>
      </c>
      <c r="AD21" s="748" t="s">
        <v>473</v>
      </c>
      <c r="AE21" s="714" t="s">
        <v>457</v>
      </c>
      <c r="AF21" s="715"/>
      <c r="AG21" s="275" t="s">
        <v>547</v>
      </c>
      <c r="AH21" s="276" t="s">
        <v>548</v>
      </c>
      <c r="AI21" s="274" t="s">
        <v>549</v>
      </c>
      <c r="AJ21" s="274">
        <v>672</v>
      </c>
      <c r="AK21" s="291" t="s">
        <v>558</v>
      </c>
      <c r="AL21" s="282"/>
      <c r="AM21" s="59">
        <v>3783</v>
      </c>
      <c r="AN21" s="250">
        <v>36780</v>
      </c>
      <c r="AO21" s="216" t="s">
        <v>600</v>
      </c>
      <c r="AP21" s="62"/>
      <c r="AQ21" s="62"/>
      <c r="AR21" s="62"/>
      <c r="AS21" s="62"/>
      <c r="AT21" s="62"/>
      <c r="AU21" s="62"/>
      <c r="AV21" s="62"/>
      <c r="AW21" s="62"/>
      <c r="AX21" s="62"/>
    </row>
    <row r="22" spans="1:83" s="218" customFormat="1" ht="10" x14ac:dyDescent="0.25">
      <c r="A22" s="704" t="s">
        <v>174</v>
      </c>
      <c r="B22" s="705" t="s">
        <v>781</v>
      </c>
      <c r="C22" s="706"/>
      <c r="D22" s="707"/>
      <c r="E22" s="708"/>
      <c r="F22" s="707"/>
      <c r="G22" s="708"/>
      <c r="H22" s="707"/>
      <c r="I22" s="708"/>
      <c r="J22" s="707"/>
      <c r="K22" s="708"/>
      <c r="L22" s="707">
        <f t="shared" si="6"/>
        <v>0</v>
      </c>
      <c r="M22" s="707">
        <f t="shared" si="0"/>
        <v>0</v>
      </c>
      <c r="N22" s="755">
        <f t="shared" si="2"/>
        <v>0</v>
      </c>
      <c r="O22" s="707"/>
      <c r="P22" s="709">
        <v>320</v>
      </c>
      <c r="Q22" s="710"/>
      <c r="R22" s="720"/>
      <c r="S22" s="720">
        <v>320</v>
      </c>
      <c r="T22" s="712">
        <f t="shared" si="5"/>
        <v>320</v>
      </c>
      <c r="U22" s="707">
        <f t="shared" si="3"/>
        <v>0</v>
      </c>
      <c r="V22" s="721"/>
      <c r="W22" s="709"/>
      <c r="X22" s="707"/>
      <c r="Y22" s="707"/>
      <c r="Z22" s="707"/>
      <c r="AA22" s="752"/>
      <c r="AB22" s="713"/>
      <c r="AC22" s="709">
        <f t="shared" si="4"/>
        <v>320</v>
      </c>
      <c r="AD22" s="748" t="s">
        <v>473</v>
      </c>
      <c r="AE22" s="714" t="s">
        <v>480</v>
      </c>
      <c r="AF22" s="715"/>
      <c r="AG22" s="275" t="s">
        <v>547</v>
      </c>
      <c r="AH22" s="276" t="s">
        <v>548</v>
      </c>
      <c r="AI22" s="274" t="s">
        <v>601</v>
      </c>
      <c r="AJ22" s="274">
        <v>504</v>
      </c>
      <c r="AK22" s="291" t="s">
        <v>550</v>
      </c>
      <c r="AL22" s="282"/>
      <c r="AM22" s="59">
        <v>792</v>
      </c>
      <c r="AN22" s="250">
        <v>36899</v>
      </c>
      <c r="AO22" s="62" t="s">
        <v>602</v>
      </c>
      <c r="AP22" s="62"/>
      <c r="AQ22" s="62"/>
      <c r="AR22" s="62"/>
      <c r="AS22" s="62"/>
      <c r="AT22" s="62"/>
      <c r="AU22" s="62"/>
      <c r="AV22" s="62"/>
      <c r="AW22" s="62"/>
      <c r="AX22" s="62"/>
    </row>
    <row r="23" spans="1:83" s="218" customFormat="1" ht="10.5" x14ac:dyDescent="0.25">
      <c r="A23" s="704" t="s">
        <v>175</v>
      </c>
      <c r="B23" s="705" t="s">
        <v>782</v>
      </c>
      <c r="C23" s="706"/>
      <c r="D23" s="707"/>
      <c r="E23" s="708"/>
      <c r="F23" s="707"/>
      <c r="G23" s="708"/>
      <c r="H23" s="707"/>
      <c r="I23" s="708"/>
      <c r="J23" s="707"/>
      <c r="K23" s="708"/>
      <c r="L23" s="707">
        <f t="shared" si="6"/>
        <v>0</v>
      </c>
      <c r="M23" s="707">
        <f t="shared" si="0"/>
        <v>0</v>
      </c>
      <c r="N23" s="755">
        <f t="shared" si="2"/>
        <v>0</v>
      </c>
      <c r="O23" s="707"/>
      <c r="P23" s="709"/>
      <c r="Q23" s="717">
        <v>240000</v>
      </c>
      <c r="R23" s="718">
        <v>24000</v>
      </c>
      <c r="S23" s="718">
        <v>24000</v>
      </c>
      <c r="T23" s="712">
        <f t="shared" si="5"/>
        <v>24000</v>
      </c>
      <c r="U23" s="707" t="str">
        <f t="shared" si="3"/>
        <v>(c)</v>
      </c>
      <c r="V23" s="726"/>
      <c r="W23" s="709"/>
      <c r="X23" s="707"/>
      <c r="Y23" s="707"/>
      <c r="Z23" s="707"/>
      <c r="AA23" s="752"/>
      <c r="AB23" s="713"/>
      <c r="AC23" s="709">
        <f t="shared" si="4"/>
        <v>24000</v>
      </c>
      <c r="AD23" s="748" t="s">
        <v>474</v>
      </c>
      <c r="AE23" s="714" t="s">
        <v>481</v>
      </c>
      <c r="AF23" s="715"/>
      <c r="AG23" s="272" t="s">
        <v>547</v>
      </c>
      <c r="AH23" s="273" t="s">
        <v>548</v>
      </c>
      <c r="AI23" s="274" t="s">
        <v>549</v>
      </c>
      <c r="AJ23" s="274">
        <v>48</v>
      </c>
      <c r="AK23" s="291" t="s">
        <v>561</v>
      </c>
      <c r="AL23" s="282"/>
      <c r="AM23" s="59">
        <v>5184</v>
      </c>
      <c r="AN23" s="250">
        <v>36881</v>
      </c>
      <c r="AO23" s="216" t="s">
        <v>885</v>
      </c>
      <c r="AP23" s="62"/>
      <c r="AQ23" s="62"/>
      <c r="AR23" s="62"/>
      <c r="AS23" s="62"/>
      <c r="AT23" s="62"/>
      <c r="AU23" s="62"/>
      <c r="AV23" s="62"/>
      <c r="AW23" s="62"/>
      <c r="AX23" s="62"/>
    </row>
    <row r="24" spans="1:83" s="218" customFormat="1" ht="10" x14ac:dyDescent="0.25">
      <c r="A24" s="704" t="s">
        <v>176</v>
      </c>
      <c r="B24" s="705" t="s">
        <v>94</v>
      </c>
      <c r="C24" s="706"/>
      <c r="D24" s="707"/>
      <c r="E24" s="708"/>
      <c r="F24" s="707"/>
      <c r="G24" s="708"/>
      <c r="H24" s="707"/>
      <c r="I24" s="708"/>
      <c r="J24" s="707"/>
      <c r="K24" s="708"/>
      <c r="L24" s="707">
        <f t="shared" si="6"/>
        <v>0</v>
      </c>
      <c r="M24" s="707">
        <f t="shared" si="0"/>
        <v>0</v>
      </c>
      <c r="N24" s="755">
        <f t="shared" si="2"/>
        <v>0</v>
      </c>
      <c r="O24" s="707"/>
      <c r="P24" s="709"/>
      <c r="Q24" s="710"/>
      <c r="R24" s="711" t="s">
        <v>119</v>
      </c>
      <c r="S24" s="711"/>
      <c r="T24" s="712">
        <f t="shared" si="5"/>
        <v>0</v>
      </c>
      <c r="U24" s="707" t="s">
        <v>119</v>
      </c>
      <c r="V24" s="713"/>
      <c r="W24" s="709"/>
      <c r="X24" s="707"/>
      <c r="Y24" s="707"/>
      <c r="Z24" s="722">
        <v>24000</v>
      </c>
      <c r="AA24" s="752" t="s">
        <v>476</v>
      </c>
      <c r="AB24" s="713"/>
      <c r="AC24" s="709">
        <f t="shared" si="4"/>
        <v>24000</v>
      </c>
      <c r="AD24" s="748" t="s">
        <v>474</v>
      </c>
      <c r="AE24" s="714" t="s">
        <v>603</v>
      </c>
      <c r="AF24" s="715"/>
      <c r="AG24" s="272" t="s">
        <v>541</v>
      </c>
      <c r="AH24" s="273" t="s">
        <v>541</v>
      </c>
      <c r="AI24" s="274" t="s">
        <v>119</v>
      </c>
      <c r="AJ24" s="274" t="s">
        <v>119</v>
      </c>
      <c r="AK24" s="291"/>
      <c r="AL24" s="282"/>
      <c r="AM24" s="59" t="s">
        <v>119</v>
      </c>
      <c r="AN24" s="59" t="s">
        <v>119</v>
      </c>
      <c r="AO24" s="62" t="s">
        <v>604</v>
      </c>
      <c r="AP24" s="62"/>
      <c r="AQ24" s="62"/>
      <c r="AR24" s="62"/>
      <c r="AS24" s="62"/>
      <c r="AT24" s="62"/>
      <c r="AU24" s="62"/>
      <c r="AV24" s="62"/>
      <c r="AW24" s="62"/>
      <c r="AX24" s="62"/>
    </row>
    <row r="25" spans="1:83" s="218" customFormat="1" ht="10" x14ac:dyDescent="0.25">
      <c r="A25" s="704" t="s">
        <v>177</v>
      </c>
      <c r="B25" s="705" t="s">
        <v>783</v>
      </c>
      <c r="C25" s="706"/>
      <c r="D25" s="707"/>
      <c r="E25" s="708"/>
      <c r="F25" s="707"/>
      <c r="G25" s="708"/>
      <c r="H25" s="707"/>
      <c r="I25" s="708"/>
      <c r="J25" s="707"/>
      <c r="K25" s="708"/>
      <c r="L25" s="707">
        <f t="shared" si="6"/>
        <v>0</v>
      </c>
      <c r="M25" s="707">
        <f t="shared" si="0"/>
        <v>0</v>
      </c>
      <c r="N25" s="755">
        <f t="shared" si="2"/>
        <v>0</v>
      </c>
      <c r="O25" s="707"/>
      <c r="P25" s="709">
        <v>160</v>
      </c>
      <c r="Q25" s="710"/>
      <c r="R25" s="720"/>
      <c r="S25" s="720">
        <v>160</v>
      </c>
      <c r="T25" s="712">
        <f t="shared" si="5"/>
        <v>160</v>
      </c>
      <c r="U25" s="707">
        <f t="shared" ref="U25:U35" si="7">IF(T25=0,0,IF(T25=Q25/10,"(c)",0))</f>
        <v>0</v>
      </c>
      <c r="V25" s="721"/>
      <c r="W25" s="709"/>
      <c r="X25" s="707"/>
      <c r="Y25" s="707"/>
      <c r="Z25" s="707"/>
      <c r="AA25" s="752"/>
      <c r="AB25" s="713"/>
      <c r="AC25" s="709">
        <f t="shared" si="4"/>
        <v>160</v>
      </c>
      <c r="AD25" s="748" t="s">
        <v>473</v>
      </c>
      <c r="AE25" s="714" t="s">
        <v>482</v>
      </c>
      <c r="AF25" s="715"/>
      <c r="AG25" s="272" t="s">
        <v>547</v>
      </c>
      <c r="AH25" s="273" t="s">
        <v>548</v>
      </c>
      <c r="AI25" s="274" t="s">
        <v>549</v>
      </c>
      <c r="AJ25" s="274">
        <v>504</v>
      </c>
      <c r="AK25" s="291" t="s">
        <v>550</v>
      </c>
      <c r="AL25" s="282"/>
      <c r="AM25" s="59">
        <v>16380</v>
      </c>
      <c r="AN25" s="250">
        <v>36783</v>
      </c>
      <c r="AO25" s="216" t="s">
        <v>606</v>
      </c>
      <c r="AP25" s="62"/>
      <c r="AQ25" s="62"/>
      <c r="AR25" s="62"/>
      <c r="AS25" s="62"/>
      <c r="AT25" s="62"/>
      <c r="AU25" s="62"/>
      <c r="AV25" s="62"/>
      <c r="AW25" s="62"/>
      <c r="AX25" s="62"/>
      <c r="CE25" s="218" t="s">
        <v>605</v>
      </c>
    </row>
    <row r="26" spans="1:83" s="218" customFormat="1" ht="10" x14ac:dyDescent="0.25">
      <c r="A26" s="704" t="s">
        <v>178</v>
      </c>
      <c r="B26" s="705" t="s">
        <v>784</v>
      </c>
      <c r="C26" s="706"/>
      <c r="D26" s="707"/>
      <c r="E26" s="708"/>
      <c r="F26" s="707"/>
      <c r="G26" s="708"/>
      <c r="H26" s="707"/>
      <c r="I26" s="708"/>
      <c r="J26" s="707"/>
      <c r="K26" s="708"/>
      <c r="L26" s="707">
        <f t="shared" si="6"/>
        <v>0</v>
      </c>
      <c r="M26" s="707">
        <f t="shared" si="0"/>
        <v>0</v>
      </c>
      <c r="N26" s="755">
        <f t="shared" si="2"/>
        <v>0</v>
      </c>
      <c r="O26" s="707"/>
      <c r="P26" s="719"/>
      <c r="Q26" s="717">
        <v>200000</v>
      </c>
      <c r="R26" s="718">
        <v>20000</v>
      </c>
      <c r="S26" s="718">
        <v>20000</v>
      </c>
      <c r="T26" s="712">
        <f t="shared" si="5"/>
        <v>20000</v>
      </c>
      <c r="U26" s="707" t="str">
        <f t="shared" si="7"/>
        <v>(c)</v>
      </c>
      <c r="V26" s="721"/>
      <c r="W26" s="709"/>
      <c r="X26" s="707"/>
      <c r="Y26" s="707"/>
      <c r="Z26" s="707"/>
      <c r="AA26" s="752"/>
      <c r="AB26" s="713"/>
      <c r="AC26" s="709">
        <f t="shared" si="4"/>
        <v>20000</v>
      </c>
      <c r="AD26" s="748" t="s">
        <v>483</v>
      </c>
      <c r="AE26" s="714" t="s">
        <v>484</v>
      </c>
      <c r="AF26" s="715"/>
      <c r="AG26" s="272" t="s">
        <v>607</v>
      </c>
      <c r="AH26" s="273" t="s">
        <v>608</v>
      </c>
      <c r="AI26" s="274" t="s">
        <v>609</v>
      </c>
      <c r="AJ26" s="274">
        <v>144</v>
      </c>
      <c r="AK26" s="291" t="s">
        <v>558</v>
      </c>
      <c r="AL26" s="282"/>
      <c r="AM26" s="59">
        <v>17262</v>
      </c>
      <c r="AN26" s="250">
        <v>37189</v>
      </c>
      <c r="AO26" s="62" t="s">
        <v>610</v>
      </c>
      <c r="AP26" s="62"/>
      <c r="AQ26" s="62"/>
      <c r="AR26" s="62"/>
      <c r="AS26" s="62"/>
      <c r="AT26" s="62"/>
      <c r="AU26" s="62"/>
      <c r="AV26" s="62"/>
      <c r="AW26" s="62"/>
      <c r="AX26" s="62"/>
    </row>
    <row r="27" spans="1:83" s="218" customFormat="1" ht="10" x14ac:dyDescent="0.25">
      <c r="A27" s="704" t="s">
        <v>179</v>
      </c>
      <c r="B27" s="705" t="s">
        <v>785</v>
      </c>
      <c r="C27" s="706"/>
      <c r="D27" s="707"/>
      <c r="E27" s="708"/>
      <c r="F27" s="707"/>
      <c r="G27" s="708"/>
      <c r="H27" s="707"/>
      <c r="I27" s="708"/>
      <c r="J27" s="707"/>
      <c r="K27" s="708"/>
      <c r="L27" s="707">
        <f t="shared" si="6"/>
        <v>0</v>
      </c>
      <c r="M27" s="707">
        <f t="shared" si="0"/>
        <v>0</v>
      </c>
      <c r="N27" s="755">
        <f t="shared" si="2"/>
        <v>0</v>
      </c>
      <c r="O27" s="707"/>
      <c r="P27" s="709"/>
      <c r="Q27" s="710">
        <v>29000</v>
      </c>
      <c r="R27" s="718">
        <v>2900</v>
      </c>
      <c r="S27" s="718">
        <v>2900</v>
      </c>
      <c r="T27" s="712">
        <f t="shared" si="5"/>
        <v>2900</v>
      </c>
      <c r="U27" s="707" t="str">
        <f t="shared" si="7"/>
        <v>(c)</v>
      </c>
      <c r="V27" s="721"/>
      <c r="W27" s="709"/>
      <c r="X27" s="707"/>
      <c r="Y27" s="707"/>
      <c r="Z27" s="707"/>
      <c r="AA27" s="752"/>
      <c r="AB27" s="713"/>
      <c r="AC27" s="709">
        <f t="shared" si="4"/>
        <v>2900</v>
      </c>
      <c r="AD27" s="748" t="s">
        <v>474</v>
      </c>
      <c r="AE27" s="727" t="s">
        <v>485</v>
      </c>
      <c r="AF27" s="728"/>
      <c r="AG27" s="272" t="s">
        <v>552</v>
      </c>
      <c r="AH27" s="273" t="s">
        <v>553</v>
      </c>
      <c r="AI27" s="274" t="s">
        <v>549</v>
      </c>
      <c r="AJ27" s="274">
        <v>96</v>
      </c>
      <c r="AK27" s="291" t="s">
        <v>561</v>
      </c>
      <c r="AL27" s="282"/>
      <c r="AM27" s="59">
        <v>5590</v>
      </c>
      <c r="AN27" s="250">
        <v>36544</v>
      </c>
      <c r="AO27" s="62" t="s">
        <v>611</v>
      </c>
      <c r="AP27" s="62"/>
      <c r="AQ27" s="62"/>
      <c r="AR27" s="62"/>
      <c r="AS27" s="62"/>
      <c r="AT27" s="62"/>
      <c r="AU27" s="62"/>
      <c r="AV27" s="62"/>
      <c r="AW27" s="62"/>
      <c r="AX27" s="62"/>
    </row>
    <row r="28" spans="1:83" s="218" customFormat="1" ht="10" x14ac:dyDescent="0.25">
      <c r="A28" s="704" t="s">
        <v>180</v>
      </c>
      <c r="B28" s="705" t="s">
        <v>786</v>
      </c>
      <c r="C28" s="706"/>
      <c r="D28" s="707"/>
      <c r="E28" s="708"/>
      <c r="F28" s="707"/>
      <c r="G28" s="708"/>
      <c r="H28" s="707"/>
      <c r="I28" s="708"/>
      <c r="J28" s="707"/>
      <c r="K28" s="708"/>
      <c r="L28" s="707">
        <f t="shared" si="6"/>
        <v>0</v>
      </c>
      <c r="M28" s="707">
        <f t="shared" si="0"/>
        <v>0</v>
      </c>
      <c r="N28" s="755">
        <f t="shared" si="2"/>
        <v>0</v>
      </c>
      <c r="O28" s="707"/>
      <c r="P28" s="709"/>
      <c r="Q28" s="710">
        <v>300</v>
      </c>
      <c r="R28" s="720">
        <v>30</v>
      </c>
      <c r="S28" s="720">
        <v>30</v>
      </c>
      <c r="T28" s="712">
        <f t="shared" si="5"/>
        <v>30</v>
      </c>
      <c r="U28" s="707" t="str">
        <f t="shared" si="7"/>
        <v>(c)</v>
      </c>
      <c r="V28" s="721"/>
      <c r="W28" s="709"/>
      <c r="X28" s="707"/>
      <c r="Y28" s="707"/>
      <c r="Z28" s="707"/>
      <c r="AA28" s="752"/>
      <c r="AB28" s="713"/>
      <c r="AC28" s="709">
        <f t="shared" si="4"/>
        <v>30</v>
      </c>
      <c r="AD28" s="748" t="s">
        <v>474</v>
      </c>
      <c r="AE28" s="714" t="s">
        <v>486</v>
      </c>
      <c r="AF28" s="715"/>
      <c r="AG28" s="272" t="s">
        <v>612</v>
      </c>
      <c r="AH28" s="273" t="s">
        <v>613</v>
      </c>
      <c r="AI28" s="274" t="s">
        <v>614</v>
      </c>
      <c r="AJ28" s="274">
        <v>96</v>
      </c>
      <c r="AK28" s="291"/>
      <c r="AL28" s="282"/>
      <c r="AM28" s="59">
        <v>5331</v>
      </c>
      <c r="AN28" s="250">
        <v>36881</v>
      </c>
      <c r="AO28" s="62" t="s">
        <v>616</v>
      </c>
      <c r="AP28" s="62"/>
      <c r="AQ28" s="62"/>
      <c r="AR28" s="62"/>
      <c r="AS28" s="62"/>
      <c r="AT28" s="62"/>
      <c r="AU28" s="62"/>
      <c r="AV28" s="62"/>
      <c r="AW28" s="62"/>
      <c r="AX28" s="62"/>
    </row>
    <row r="29" spans="1:83" s="218" customFormat="1" ht="10" x14ac:dyDescent="0.25">
      <c r="A29" s="704" t="s">
        <v>181</v>
      </c>
      <c r="B29" s="705" t="s">
        <v>787</v>
      </c>
      <c r="C29" s="706"/>
      <c r="D29" s="707">
        <v>0.52</v>
      </c>
      <c r="E29" s="708" t="s">
        <v>511</v>
      </c>
      <c r="F29" s="707">
        <v>0.3</v>
      </c>
      <c r="G29" s="708" t="s">
        <v>511</v>
      </c>
      <c r="H29" s="707">
        <v>40</v>
      </c>
      <c r="I29" s="708"/>
      <c r="J29" s="707">
        <v>8.8000000000000007</v>
      </c>
      <c r="K29" s="708"/>
      <c r="L29" s="707">
        <f t="shared" si="6"/>
        <v>0.3</v>
      </c>
      <c r="M29" s="707">
        <f t="shared" si="0"/>
        <v>0.3</v>
      </c>
      <c r="N29" s="755" t="str">
        <f t="shared" si="2"/>
        <v>CCC(FW)</v>
      </c>
      <c r="O29" s="707"/>
      <c r="P29" s="709"/>
      <c r="Q29" s="710"/>
      <c r="R29" s="720"/>
      <c r="S29" s="720"/>
      <c r="T29" s="712">
        <f t="shared" si="5"/>
        <v>0</v>
      </c>
      <c r="U29" s="707">
        <f t="shared" si="7"/>
        <v>0</v>
      </c>
      <c r="V29" s="713"/>
      <c r="W29" s="709"/>
      <c r="X29" s="707"/>
      <c r="Y29" s="707"/>
      <c r="Z29" s="707"/>
      <c r="AA29" s="752"/>
      <c r="AB29" s="713"/>
      <c r="AC29" s="709">
        <f t="shared" si="4"/>
        <v>0.3</v>
      </c>
      <c r="AD29" s="748" t="str">
        <f>IF(AC29=0,"No Data",IF(AC29=M29,N29,IF(AC29=Q29/10,"AQUIRE(ACUTE)/10",IF(AC29=P29,"AQUIRE(CHRONIC)",IF(AC29=W29,"Lowest Chronic","Tier II Chronic")))))</f>
        <v>CCC(FW)</v>
      </c>
      <c r="AE29" s="714" t="s">
        <v>579</v>
      </c>
      <c r="AF29" s="715"/>
      <c r="AG29" s="272" t="s">
        <v>541</v>
      </c>
      <c r="AH29" s="273" t="s">
        <v>541</v>
      </c>
      <c r="AI29" s="274" t="s">
        <v>541</v>
      </c>
      <c r="AJ29" s="274" t="s">
        <v>541</v>
      </c>
      <c r="AK29" s="291" t="s">
        <v>541</v>
      </c>
      <c r="AL29" s="282"/>
      <c r="AM29" s="59" t="s">
        <v>541</v>
      </c>
      <c r="AN29" s="59" t="s">
        <v>542</v>
      </c>
      <c r="AO29" s="62" t="s">
        <v>580</v>
      </c>
      <c r="AP29" s="62"/>
      <c r="AQ29" s="62"/>
      <c r="AR29" s="62"/>
      <c r="AS29" s="62"/>
      <c r="AT29" s="62"/>
      <c r="AU29" s="62"/>
      <c r="AV29" s="62"/>
      <c r="AW29" s="62"/>
      <c r="AX29" s="62"/>
    </row>
    <row r="30" spans="1:83" s="218" customFormat="1" ht="10" x14ac:dyDescent="0.25">
      <c r="A30" s="704" t="s">
        <v>182</v>
      </c>
      <c r="B30" s="705" t="s">
        <v>788</v>
      </c>
      <c r="C30" s="706"/>
      <c r="D30" s="707"/>
      <c r="E30" s="708"/>
      <c r="F30" s="707"/>
      <c r="G30" s="708"/>
      <c r="H30" s="707"/>
      <c r="I30" s="708"/>
      <c r="J30" s="707"/>
      <c r="K30" s="708"/>
      <c r="L30" s="707">
        <f t="shared" si="6"/>
        <v>0</v>
      </c>
      <c r="M30" s="707">
        <f t="shared" si="0"/>
        <v>0</v>
      </c>
      <c r="N30" s="755">
        <f t="shared" si="2"/>
        <v>0</v>
      </c>
      <c r="O30" s="707"/>
      <c r="P30" s="709"/>
      <c r="Q30" s="717">
        <v>2000</v>
      </c>
      <c r="R30" s="720">
        <v>200</v>
      </c>
      <c r="S30" s="720">
        <v>200</v>
      </c>
      <c r="T30" s="712">
        <f t="shared" si="5"/>
        <v>200</v>
      </c>
      <c r="U30" s="707" t="str">
        <f t="shared" si="7"/>
        <v>(c)</v>
      </c>
      <c r="V30" s="721"/>
      <c r="W30" s="709"/>
      <c r="X30" s="707"/>
      <c r="Y30" s="707"/>
      <c r="Z30" s="707"/>
      <c r="AA30" s="752"/>
      <c r="AB30" s="713"/>
      <c r="AC30" s="709">
        <f t="shared" si="4"/>
        <v>200</v>
      </c>
      <c r="AD30" s="748" t="s">
        <v>474</v>
      </c>
      <c r="AE30" s="714" t="s">
        <v>487</v>
      </c>
      <c r="AF30" s="715"/>
      <c r="AG30" s="275" t="s">
        <v>617</v>
      </c>
      <c r="AH30" s="276" t="s">
        <v>618</v>
      </c>
      <c r="AI30" s="274" t="s">
        <v>549</v>
      </c>
      <c r="AJ30" s="274">
        <v>48</v>
      </c>
      <c r="AK30" s="291" t="s">
        <v>561</v>
      </c>
      <c r="AL30" s="282"/>
      <c r="AM30" s="59">
        <v>12513</v>
      </c>
      <c r="AN30" s="250">
        <v>36881</v>
      </c>
      <c r="AO30" s="62" t="s">
        <v>621</v>
      </c>
      <c r="AP30" s="62"/>
      <c r="AQ30" s="62"/>
      <c r="AR30" s="62"/>
      <c r="AS30" s="62"/>
      <c r="AT30" s="62"/>
      <c r="AU30" s="62"/>
      <c r="AV30" s="62"/>
      <c r="AW30" s="62"/>
      <c r="AX30" s="62"/>
      <c r="CE30" s="218" t="s">
        <v>581</v>
      </c>
    </row>
    <row r="31" spans="1:83" s="218" customFormat="1" ht="10" x14ac:dyDescent="0.25">
      <c r="A31" s="704" t="s">
        <v>183</v>
      </c>
      <c r="B31" s="705" t="s">
        <v>789</v>
      </c>
      <c r="C31" s="706"/>
      <c r="D31" s="707">
        <v>1.2</v>
      </c>
      <c r="E31" s="708"/>
      <c r="F31" s="707">
        <v>4.3E-3</v>
      </c>
      <c r="G31" s="708"/>
      <c r="H31" s="707">
        <v>0.05</v>
      </c>
      <c r="I31" s="708"/>
      <c r="J31" s="707">
        <v>4.0000000000000001E-3</v>
      </c>
      <c r="K31" s="708"/>
      <c r="L31" s="707">
        <f t="shared" si="6"/>
        <v>4.0000000000000001E-3</v>
      </c>
      <c r="M31" s="707">
        <f t="shared" si="0"/>
        <v>4.0000000000000001E-3</v>
      </c>
      <c r="N31" s="755" t="str">
        <f t="shared" si="2"/>
        <v>CCC(SW)</v>
      </c>
      <c r="O31" s="707"/>
      <c r="P31" s="709"/>
      <c r="Q31" s="710"/>
      <c r="R31" s="720"/>
      <c r="S31" s="720"/>
      <c r="T31" s="712">
        <f t="shared" si="5"/>
        <v>0</v>
      </c>
      <c r="U31" s="707">
        <f t="shared" si="7"/>
        <v>0</v>
      </c>
      <c r="V31" s="713"/>
      <c r="W31" s="709"/>
      <c r="X31" s="707"/>
      <c r="Y31" s="707"/>
      <c r="Z31" s="707"/>
      <c r="AA31" s="752"/>
      <c r="AB31" s="713"/>
      <c r="AC31" s="709">
        <f t="shared" si="4"/>
        <v>4.0000000000000001E-3</v>
      </c>
      <c r="AD31" s="748" t="str">
        <f>IF(AC31=0,"No Data",IF(AC31=M31,N31,IF(AC31=Q31/10,"AQUIRE(ACUTE)/10",IF(AC31=P31,"AQUIRE(CHRONIC)",IF(AC31=W31,"Lowest Chronic","Tier II Chronic")))))</f>
        <v>CCC(SW)</v>
      </c>
      <c r="AE31" s="714" t="s">
        <v>118</v>
      </c>
      <c r="AF31" s="715"/>
      <c r="AG31" s="272" t="s">
        <v>541</v>
      </c>
      <c r="AH31" s="273" t="s">
        <v>541</v>
      </c>
      <c r="AI31" s="274" t="s">
        <v>541</v>
      </c>
      <c r="AJ31" s="274" t="s">
        <v>541</v>
      </c>
      <c r="AK31" s="291" t="s">
        <v>541</v>
      </c>
      <c r="AL31" s="282"/>
      <c r="AM31" s="59" t="s">
        <v>541</v>
      </c>
      <c r="AN31" s="59" t="s">
        <v>542</v>
      </c>
      <c r="AO31" s="62" t="s">
        <v>543</v>
      </c>
      <c r="AP31" s="62"/>
      <c r="AQ31" s="62"/>
      <c r="AR31" s="62"/>
      <c r="AS31" s="62"/>
      <c r="AT31" s="62"/>
      <c r="AU31" s="62"/>
      <c r="AV31" s="62"/>
      <c r="AW31" s="62"/>
      <c r="AX31" s="62"/>
      <c r="CE31" s="218" t="s">
        <v>622</v>
      </c>
    </row>
    <row r="32" spans="1:83" s="218" customFormat="1" ht="10" x14ac:dyDescent="0.25">
      <c r="A32" s="704" t="s">
        <v>184</v>
      </c>
      <c r="B32" s="705" t="s">
        <v>790</v>
      </c>
      <c r="C32" s="706"/>
      <c r="D32" s="707"/>
      <c r="E32" s="708"/>
      <c r="F32" s="707"/>
      <c r="G32" s="708"/>
      <c r="H32" s="707"/>
      <c r="I32" s="708"/>
      <c r="J32" s="707"/>
      <c r="K32" s="708"/>
      <c r="L32" s="707">
        <f t="shared" si="6"/>
        <v>0</v>
      </c>
      <c r="M32" s="707">
        <f t="shared" si="0"/>
        <v>0</v>
      </c>
      <c r="N32" s="755">
        <f t="shared" si="2"/>
        <v>0</v>
      </c>
      <c r="O32" s="707"/>
      <c r="P32" s="709"/>
      <c r="Q32" s="710">
        <v>100</v>
      </c>
      <c r="R32" s="720">
        <v>10</v>
      </c>
      <c r="S32" s="720">
        <v>10</v>
      </c>
      <c r="T32" s="712">
        <f t="shared" si="5"/>
        <v>10</v>
      </c>
      <c r="U32" s="707" t="str">
        <f t="shared" si="7"/>
        <v>(c)</v>
      </c>
      <c r="V32" s="721"/>
      <c r="W32" s="709"/>
      <c r="X32" s="707"/>
      <c r="Y32" s="707"/>
      <c r="Z32" s="707"/>
      <c r="AA32" s="752"/>
      <c r="AB32" s="713"/>
      <c r="AC32" s="709">
        <f t="shared" si="4"/>
        <v>10</v>
      </c>
      <c r="AD32" s="748" t="s">
        <v>479</v>
      </c>
      <c r="AE32" s="714" t="s">
        <v>488</v>
      </c>
      <c r="AF32" s="715"/>
      <c r="AG32" s="272" t="s">
        <v>547</v>
      </c>
      <c r="AH32" s="273" t="s">
        <v>548</v>
      </c>
      <c r="AI32" s="274" t="s">
        <v>549</v>
      </c>
      <c r="AJ32" s="274">
        <v>48</v>
      </c>
      <c r="AK32" s="291" t="s">
        <v>561</v>
      </c>
      <c r="AL32" s="282"/>
      <c r="AM32" s="59">
        <v>4055</v>
      </c>
      <c r="AN32" s="250">
        <v>36881</v>
      </c>
      <c r="AO32" s="216" t="s">
        <v>623</v>
      </c>
      <c r="AP32" s="62"/>
      <c r="AQ32" s="62"/>
      <c r="AR32" s="62"/>
      <c r="AS32" s="62"/>
      <c r="AT32" s="62"/>
      <c r="AU32" s="62"/>
      <c r="AV32" s="62"/>
      <c r="AW32" s="62"/>
      <c r="AX32" s="62"/>
      <c r="CE32" s="218" t="s">
        <v>581</v>
      </c>
    </row>
    <row r="33" spans="1:83" s="218" customFormat="1" ht="10" x14ac:dyDescent="0.25">
      <c r="A33" s="704" t="s">
        <v>185</v>
      </c>
      <c r="B33" s="705" t="s">
        <v>791</v>
      </c>
      <c r="C33" s="706"/>
      <c r="D33" s="707"/>
      <c r="E33" s="708"/>
      <c r="F33" s="707"/>
      <c r="G33" s="708"/>
      <c r="H33" s="707"/>
      <c r="I33" s="708"/>
      <c r="J33" s="707"/>
      <c r="K33" s="708"/>
      <c r="L33" s="707">
        <f t="shared" si="6"/>
        <v>0</v>
      </c>
      <c r="M33" s="707">
        <f t="shared" si="0"/>
        <v>0</v>
      </c>
      <c r="N33" s="755">
        <f t="shared" si="2"/>
        <v>0</v>
      </c>
      <c r="O33" s="707"/>
      <c r="P33" s="709">
        <v>38</v>
      </c>
      <c r="Q33" s="710"/>
      <c r="R33" s="720"/>
      <c r="S33" s="720">
        <v>38</v>
      </c>
      <c r="T33" s="712">
        <f t="shared" si="5"/>
        <v>38</v>
      </c>
      <c r="U33" s="707">
        <f t="shared" si="7"/>
        <v>0</v>
      </c>
      <c r="V33" s="721"/>
      <c r="W33" s="709"/>
      <c r="X33" s="707"/>
      <c r="Y33" s="707"/>
      <c r="Z33" s="707"/>
      <c r="AA33" s="752"/>
      <c r="AB33" s="713"/>
      <c r="AC33" s="709">
        <f t="shared" si="4"/>
        <v>38</v>
      </c>
      <c r="AD33" s="748" t="s">
        <v>473</v>
      </c>
      <c r="AE33" s="714" t="s">
        <v>489</v>
      </c>
      <c r="AF33" s="715"/>
      <c r="AG33" s="275" t="s">
        <v>624</v>
      </c>
      <c r="AH33" s="276" t="s">
        <v>625</v>
      </c>
      <c r="AI33" s="274" t="s">
        <v>549</v>
      </c>
      <c r="AJ33" s="274">
        <v>180</v>
      </c>
      <c r="AK33" s="291" t="s">
        <v>550</v>
      </c>
      <c r="AL33" s="282"/>
      <c r="AM33" s="59">
        <v>563</v>
      </c>
      <c r="AN33" s="250">
        <v>36881</v>
      </c>
      <c r="AO33" s="62" t="s">
        <v>626</v>
      </c>
      <c r="AP33" s="62"/>
      <c r="AQ33" s="62"/>
      <c r="AR33" s="62"/>
      <c r="AS33" s="62"/>
      <c r="AT33" s="62"/>
      <c r="AU33" s="62"/>
      <c r="AV33" s="62"/>
      <c r="AW33" s="62"/>
      <c r="AX33" s="62"/>
    </row>
    <row r="34" spans="1:83" s="218" customFormat="1" ht="10" x14ac:dyDescent="0.25">
      <c r="A34" s="704" t="s">
        <v>186</v>
      </c>
      <c r="B34" s="705" t="s">
        <v>792</v>
      </c>
      <c r="C34" s="706"/>
      <c r="D34" s="707"/>
      <c r="E34" s="708"/>
      <c r="F34" s="707"/>
      <c r="G34" s="708"/>
      <c r="H34" s="707"/>
      <c r="I34" s="708"/>
      <c r="J34" s="707"/>
      <c r="K34" s="708"/>
      <c r="L34" s="707">
        <f t="shared" si="6"/>
        <v>0</v>
      </c>
      <c r="M34" s="707">
        <f t="shared" si="0"/>
        <v>0</v>
      </c>
      <c r="N34" s="755">
        <f t="shared" si="2"/>
        <v>0</v>
      </c>
      <c r="O34" s="707"/>
      <c r="P34" s="709"/>
      <c r="Q34" s="710"/>
      <c r="R34" s="720"/>
      <c r="S34" s="720"/>
      <c r="T34" s="712">
        <f t="shared" si="5"/>
        <v>0</v>
      </c>
      <c r="U34" s="707">
        <f t="shared" si="7"/>
        <v>0</v>
      </c>
      <c r="V34" s="713"/>
      <c r="W34" s="719">
        <v>970</v>
      </c>
      <c r="X34" s="707"/>
      <c r="Y34" s="707"/>
      <c r="Z34" s="722">
        <v>970</v>
      </c>
      <c r="AA34" s="752"/>
      <c r="AB34" s="713"/>
      <c r="AC34" s="709">
        <f t="shared" si="4"/>
        <v>970</v>
      </c>
      <c r="AD34" s="748" t="s">
        <v>473</v>
      </c>
      <c r="AE34" s="714" t="s">
        <v>628</v>
      </c>
      <c r="AF34" s="715"/>
      <c r="AG34" s="272" t="s">
        <v>629</v>
      </c>
      <c r="AH34" s="273" t="s">
        <v>630</v>
      </c>
      <c r="AI34" s="274" t="s">
        <v>631</v>
      </c>
      <c r="AJ34" s="274">
        <v>216</v>
      </c>
      <c r="AK34" s="291" t="s">
        <v>550</v>
      </c>
      <c r="AL34" s="282"/>
      <c r="AM34" s="59"/>
      <c r="AN34" s="250" t="s">
        <v>632</v>
      </c>
      <c r="AO34" s="62" t="s">
        <v>633</v>
      </c>
      <c r="AP34" s="62"/>
      <c r="AQ34" s="62"/>
      <c r="AR34" s="62"/>
      <c r="AS34" s="62"/>
      <c r="AT34" s="62"/>
      <c r="AU34" s="62"/>
      <c r="AV34" s="62"/>
      <c r="AW34" s="62"/>
      <c r="AX34" s="62"/>
      <c r="CE34" s="218" t="s">
        <v>627</v>
      </c>
    </row>
    <row r="35" spans="1:83" s="218" customFormat="1" ht="10" x14ac:dyDescent="0.25">
      <c r="A35" s="704" t="s">
        <v>187</v>
      </c>
      <c r="B35" s="705" t="s">
        <v>793</v>
      </c>
      <c r="C35" s="706"/>
      <c r="D35" s="707"/>
      <c r="E35" s="708"/>
      <c r="F35" s="707"/>
      <c r="G35" s="708"/>
      <c r="H35" s="707"/>
      <c r="I35" s="708"/>
      <c r="J35" s="707"/>
      <c r="K35" s="708"/>
      <c r="L35" s="707">
        <f t="shared" si="6"/>
        <v>0</v>
      </c>
      <c r="M35" s="707">
        <f t="shared" si="0"/>
        <v>0</v>
      </c>
      <c r="N35" s="755">
        <f t="shared" si="2"/>
        <v>0</v>
      </c>
      <c r="O35" s="707"/>
      <c r="P35" s="709" t="s">
        <v>490</v>
      </c>
      <c r="Q35" s="717">
        <v>2600</v>
      </c>
      <c r="R35" s="720">
        <v>260</v>
      </c>
      <c r="S35" s="720">
        <v>260</v>
      </c>
      <c r="T35" s="712">
        <f t="shared" si="5"/>
        <v>260</v>
      </c>
      <c r="U35" s="707" t="str">
        <f t="shared" si="7"/>
        <v>(c)</v>
      </c>
      <c r="V35" s="721"/>
      <c r="W35" s="709"/>
      <c r="X35" s="707"/>
      <c r="Y35" s="707"/>
      <c r="Z35" s="707"/>
      <c r="AA35" s="752"/>
      <c r="AB35" s="713"/>
      <c r="AC35" s="709">
        <f t="shared" si="4"/>
        <v>260</v>
      </c>
      <c r="AD35" s="748" t="s">
        <v>474</v>
      </c>
      <c r="AE35" s="714" t="s">
        <v>123</v>
      </c>
      <c r="AF35" s="715"/>
      <c r="AG35" s="272" t="s">
        <v>547</v>
      </c>
      <c r="AH35" s="273" t="s">
        <v>548</v>
      </c>
      <c r="AI35" s="274" t="s">
        <v>549</v>
      </c>
      <c r="AJ35" s="274">
        <v>48</v>
      </c>
      <c r="AK35" s="291" t="s">
        <v>561</v>
      </c>
      <c r="AL35" s="282"/>
      <c r="AM35" s="59">
        <v>753</v>
      </c>
      <c r="AN35" s="250">
        <v>36881</v>
      </c>
      <c r="AO35" s="62" t="s">
        <v>635</v>
      </c>
      <c r="AP35" s="62"/>
      <c r="AQ35" s="62"/>
      <c r="AR35" s="62"/>
      <c r="AS35" s="62"/>
      <c r="AT35" s="62"/>
      <c r="AU35" s="62"/>
      <c r="AV35" s="62"/>
      <c r="AW35" s="62"/>
      <c r="AX35" s="62"/>
      <c r="CE35" s="62" t="s">
        <v>634</v>
      </c>
    </row>
    <row r="36" spans="1:83" s="218" customFormat="1" ht="20" x14ac:dyDescent="0.25">
      <c r="A36" s="704" t="s">
        <v>188</v>
      </c>
      <c r="B36" s="705" t="s">
        <v>794</v>
      </c>
      <c r="C36" s="706"/>
      <c r="D36" s="707">
        <v>16</v>
      </c>
      <c r="E36" s="708"/>
      <c r="F36" s="707">
        <v>11</v>
      </c>
      <c r="G36" s="708"/>
      <c r="H36" s="707">
        <v>1100</v>
      </c>
      <c r="I36" s="708"/>
      <c r="J36" s="707">
        <v>50</v>
      </c>
      <c r="K36" s="708"/>
      <c r="L36" s="707">
        <v>11</v>
      </c>
      <c r="M36" s="707">
        <v>11</v>
      </c>
      <c r="N36" s="755"/>
      <c r="O36" s="707"/>
      <c r="P36" s="709"/>
      <c r="Q36" s="717"/>
      <c r="R36" s="720"/>
      <c r="S36" s="720"/>
      <c r="T36" s="712">
        <f t="shared" si="5"/>
        <v>0</v>
      </c>
      <c r="U36" s="707"/>
      <c r="V36" s="721"/>
      <c r="W36" s="709"/>
      <c r="X36" s="707"/>
      <c r="Y36" s="707"/>
      <c r="Z36" s="707"/>
      <c r="AA36" s="752" t="s">
        <v>491</v>
      </c>
      <c r="AB36" s="713"/>
      <c r="AC36" s="709">
        <f t="shared" si="4"/>
        <v>11</v>
      </c>
      <c r="AD36" s="748" t="s">
        <v>492</v>
      </c>
      <c r="AE36" s="714"/>
      <c r="AF36" s="715"/>
      <c r="AG36" s="272"/>
      <c r="AH36" s="273"/>
      <c r="AI36" s="274" t="s">
        <v>541</v>
      </c>
      <c r="AJ36" s="274" t="s">
        <v>541</v>
      </c>
      <c r="AK36" s="291" t="s">
        <v>541</v>
      </c>
      <c r="AL36" s="282"/>
      <c r="AM36" s="59"/>
      <c r="AN36" s="250"/>
      <c r="AO36" s="62"/>
      <c r="AP36" s="62"/>
      <c r="AQ36" s="62"/>
      <c r="AR36" s="62"/>
      <c r="AS36" s="62"/>
      <c r="AT36" s="62"/>
      <c r="AU36" s="62"/>
      <c r="AV36" s="62"/>
      <c r="AW36" s="62"/>
      <c r="AX36" s="62"/>
    </row>
    <row r="37" spans="1:83" s="218" customFormat="1" ht="10" x14ac:dyDescent="0.25">
      <c r="A37" s="704" t="s">
        <v>189</v>
      </c>
      <c r="B37" s="705" t="s">
        <v>95</v>
      </c>
      <c r="C37" s="706"/>
      <c r="D37" s="707">
        <v>180</v>
      </c>
      <c r="E37" s="708" t="s">
        <v>511</v>
      </c>
      <c r="F37" s="707">
        <v>24</v>
      </c>
      <c r="G37" s="708" t="s">
        <v>511</v>
      </c>
      <c r="H37" s="707"/>
      <c r="I37" s="708"/>
      <c r="J37" s="707"/>
      <c r="K37" s="708"/>
      <c r="L37" s="707">
        <f t="shared" si="6"/>
        <v>24</v>
      </c>
      <c r="M37" s="707">
        <f t="shared" si="0"/>
        <v>24</v>
      </c>
      <c r="N37" s="755" t="str">
        <f t="shared" si="2"/>
        <v>CCC(FW)</v>
      </c>
      <c r="O37" s="707"/>
      <c r="P37" s="709"/>
      <c r="Q37" s="710"/>
      <c r="R37" s="720"/>
      <c r="S37" s="720"/>
      <c r="T37" s="712">
        <f t="shared" si="5"/>
        <v>0</v>
      </c>
      <c r="U37" s="707">
        <f t="shared" ref="U37:U49" si="8">IF(T37=0,0,IF(T37=Q37/10,"(c)",0))</f>
        <v>0</v>
      </c>
      <c r="V37" s="713"/>
      <c r="W37" s="709"/>
      <c r="X37" s="707"/>
      <c r="Y37" s="707"/>
      <c r="Z37" s="707"/>
      <c r="AA37" s="752"/>
      <c r="AB37" s="713"/>
      <c r="AC37" s="709">
        <f t="shared" si="4"/>
        <v>24</v>
      </c>
      <c r="AD37" s="748" t="str">
        <f>IF(AC37=0,"No Data",IF(AC37=M37,N37,IF(AC37=Q37/10,"AQUIRE(ACUTE)/10",IF(AC37=P37,"AQUIRE(CHRONIC)",IF(AC37=W37,"Lowest Chronic","Tier II Chronic")))))</f>
        <v>CCC(FW)</v>
      </c>
      <c r="AE37" s="714" t="s">
        <v>118</v>
      </c>
      <c r="AF37" s="715"/>
      <c r="AG37" s="272" t="s">
        <v>541</v>
      </c>
      <c r="AH37" s="273" t="s">
        <v>541</v>
      </c>
      <c r="AI37" s="274" t="s">
        <v>541</v>
      </c>
      <c r="AJ37" s="274" t="s">
        <v>541</v>
      </c>
      <c r="AK37" s="291" t="s">
        <v>541</v>
      </c>
      <c r="AL37" s="282"/>
      <c r="AM37" s="59" t="s">
        <v>541</v>
      </c>
      <c r="AN37" s="59" t="s">
        <v>542</v>
      </c>
      <c r="AO37" s="62" t="s">
        <v>543</v>
      </c>
      <c r="AP37" s="62"/>
      <c r="AQ37" s="62"/>
      <c r="AR37" s="62"/>
      <c r="AS37" s="62"/>
      <c r="AT37" s="62"/>
      <c r="AU37" s="62"/>
      <c r="AV37" s="62"/>
      <c r="AW37" s="62"/>
      <c r="AX37" s="62"/>
    </row>
    <row r="38" spans="1:83" s="218" customFormat="1" ht="10" x14ac:dyDescent="0.25">
      <c r="A38" s="704" t="s">
        <v>190</v>
      </c>
      <c r="B38" s="705" t="s">
        <v>96</v>
      </c>
      <c r="C38" s="706"/>
      <c r="D38" s="707">
        <v>16</v>
      </c>
      <c r="E38" s="708"/>
      <c r="F38" s="707">
        <v>11</v>
      </c>
      <c r="G38" s="708"/>
      <c r="H38" s="707">
        <v>1100</v>
      </c>
      <c r="I38" s="708"/>
      <c r="J38" s="707">
        <v>50</v>
      </c>
      <c r="K38" s="708"/>
      <c r="L38" s="707">
        <f t="shared" si="6"/>
        <v>11</v>
      </c>
      <c r="M38" s="707">
        <f t="shared" si="0"/>
        <v>11</v>
      </c>
      <c r="N38" s="755" t="str">
        <f t="shared" si="2"/>
        <v>CCC(FW)</v>
      </c>
      <c r="O38" s="707"/>
      <c r="P38" s="709"/>
      <c r="Q38" s="710"/>
      <c r="R38" s="720"/>
      <c r="S38" s="720"/>
      <c r="T38" s="712">
        <f t="shared" si="5"/>
        <v>0</v>
      </c>
      <c r="U38" s="707">
        <f t="shared" si="8"/>
        <v>0</v>
      </c>
      <c r="V38" s="713"/>
      <c r="W38" s="709"/>
      <c r="X38" s="707"/>
      <c r="Y38" s="707"/>
      <c r="Z38" s="707"/>
      <c r="AA38" s="752"/>
      <c r="AB38" s="713"/>
      <c r="AC38" s="709">
        <f t="shared" si="4"/>
        <v>11</v>
      </c>
      <c r="AD38" s="748" t="str">
        <f>IF(AC38=0,"No Data",IF(AC38=M38,N38,IF(AC38=Q38/10,"AQUIRE(ACUTE)/10",IF(AC38=P38,"AQUIRE(CHRONIC)",IF(AC38=W38,"Lowest Chronic","Tier II Chronic")))))</f>
        <v>CCC(FW)</v>
      </c>
      <c r="AE38" s="714" t="s">
        <v>118</v>
      </c>
      <c r="AF38" s="715"/>
      <c r="AG38" s="272" t="s">
        <v>541</v>
      </c>
      <c r="AH38" s="273" t="s">
        <v>541</v>
      </c>
      <c r="AI38" s="274" t="s">
        <v>541</v>
      </c>
      <c r="AJ38" s="274" t="s">
        <v>541</v>
      </c>
      <c r="AK38" s="291" t="s">
        <v>541</v>
      </c>
      <c r="AL38" s="282"/>
      <c r="AM38" s="59" t="s">
        <v>541</v>
      </c>
      <c r="AN38" s="59" t="s">
        <v>542</v>
      </c>
      <c r="AO38" s="62" t="s">
        <v>543</v>
      </c>
      <c r="AP38" s="62"/>
      <c r="AQ38" s="62"/>
      <c r="AR38" s="62"/>
      <c r="AS38" s="62"/>
      <c r="AT38" s="62"/>
      <c r="AU38" s="62"/>
      <c r="AV38" s="62"/>
      <c r="AW38" s="62"/>
      <c r="AX38" s="62"/>
    </row>
    <row r="39" spans="1:83" s="218" customFormat="1" ht="10" x14ac:dyDescent="0.25">
      <c r="A39" s="704" t="s">
        <v>191</v>
      </c>
      <c r="B39" s="705" t="s">
        <v>795</v>
      </c>
      <c r="C39" s="706"/>
      <c r="D39" s="707"/>
      <c r="E39" s="708"/>
      <c r="F39" s="707"/>
      <c r="G39" s="708"/>
      <c r="H39" s="707"/>
      <c r="I39" s="708"/>
      <c r="J39" s="707"/>
      <c r="K39" s="708"/>
      <c r="L39" s="707">
        <f t="shared" si="6"/>
        <v>0</v>
      </c>
      <c r="M39" s="707">
        <f t="shared" si="0"/>
        <v>0</v>
      </c>
      <c r="N39" s="755">
        <f t="shared" si="2"/>
        <v>0</v>
      </c>
      <c r="O39" s="707"/>
      <c r="P39" s="709"/>
      <c r="Q39" s="710">
        <v>0.7</v>
      </c>
      <c r="R39" s="720">
        <v>7.0000000000000007E-2</v>
      </c>
      <c r="S39" s="720">
        <v>7.0000000000000007E-2</v>
      </c>
      <c r="T39" s="712">
        <f t="shared" si="5"/>
        <v>6.9999999999999993E-2</v>
      </c>
      <c r="U39" s="707" t="str">
        <f t="shared" si="8"/>
        <v>(c)</v>
      </c>
      <c r="V39" s="721"/>
      <c r="W39" s="709"/>
      <c r="X39" s="707"/>
      <c r="Y39" s="707"/>
      <c r="Z39" s="707"/>
      <c r="AA39" s="752"/>
      <c r="AB39" s="713"/>
      <c r="AC39" s="709">
        <f t="shared" si="4"/>
        <v>7.0000000000000007E-2</v>
      </c>
      <c r="AD39" s="748" t="s">
        <v>474</v>
      </c>
      <c r="AE39" s="714" t="s">
        <v>122</v>
      </c>
      <c r="AF39" s="715"/>
      <c r="AG39" s="272" t="s">
        <v>547</v>
      </c>
      <c r="AH39" s="273" t="s">
        <v>548</v>
      </c>
      <c r="AI39" s="274" t="s">
        <v>597</v>
      </c>
      <c r="AJ39" s="274">
        <v>14</v>
      </c>
      <c r="AK39" s="291" t="s">
        <v>558</v>
      </c>
      <c r="AL39" s="282"/>
      <c r="AM39" s="59">
        <v>12675</v>
      </c>
      <c r="AN39" s="250">
        <v>36899</v>
      </c>
      <c r="AO39" s="62" t="s">
        <v>636</v>
      </c>
      <c r="AP39" s="62"/>
      <c r="AQ39" s="62"/>
      <c r="AR39" s="62"/>
      <c r="AS39" s="62"/>
      <c r="AT39" s="62"/>
      <c r="AU39" s="62"/>
      <c r="AV39" s="62"/>
      <c r="AW39" s="62"/>
      <c r="AX39" s="62"/>
    </row>
    <row r="40" spans="1:83" s="218" customFormat="1" ht="10" x14ac:dyDescent="0.25">
      <c r="A40" s="704" t="s">
        <v>282</v>
      </c>
      <c r="B40" s="705" t="s">
        <v>796</v>
      </c>
      <c r="C40" s="706"/>
      <c r="D40" s="707">
        <v>22</v>
      </c>
      <c r="E40" s="708"/>
      <c r="F40" s="707">
        <v>5.2</v>
      </c>
      <c r="G40" s="708"/>
      <c r="H40" s="707">
        <v>1</v>
      </c>
      <c r="I40" s="708"/>
      <c r="J40" s="707">
        <v>1</v>
      </c>
      <c r="K40" s="708"/>
      <c r="L40" s="707">
        <f t="shared" si="6"/>
        <v>1</v>
      </c>
      <c r="M40" s="707">
        <f t="shared" si="0"/>
        <v>1</v>
      </c>
      <c r="N40" s="755" t="str">
        <f t="shared" si="2"/>
        <v>CCC(SW)</v>
      </c>
      <c r="O40" s="707"/>
      <c r="P40" s="709"/>
      <c r="Q40" s="710"/>
      <c r="R40" s="720"/>
      <c r="S40" s="720"/>
      <c r="T40" s="712">
        <f t="shared" si="5"/>
        <v>0</v>
      </c>
      <c r="U40" s="707">
        <f t="shared" si="8"/>
        <v>0</v>
      </c>
      <c r="V40" s="713"/>
      <c r="W40" s="709"/>
      <c r="X40" s="707"/>
      <c r="Y40" s="707"/>
      <c r="Z40" s="707"/>
      <c r="AA40" s="752"/>
      <c r="AB40" s="713"/>
      <c r="AC40" s="709">
        <f t="shared" si="4"/>
        <v>1</v>
      </c>
      <c r="AD40" s="748" t="str">
        <f>IF(AC40=0,"No Data",IF(AC40=M40,N40,IF(AC40=Q40/10,"AQUIRE(ACUTE)/10",IF(AC40=P40,"AQUIRE(CHRONIC)",IF(AC40=W40,"Lowest Chronic","Tier II Chronic")))))</f>
        <v>CCC(SW)</v>
      </c>
      <c r="AE40" s="714" t="s">
        <v>118</v>
      </c>
      <c r="AF40" s="715"/>
      <c r="AG40" s="272" t="s">
        <v>541</v>
      </c>
      <c r="AH40" s="273" t="s">
        <v>541</v>
      </c>
      <c r="AI40" s="274" t="s">
        <v>541</v>
      </c>
      <c r="AJ40" s="274" t="s">
        <v>541</v>
      </c>
      <c r="AK40" s="291" t="s">
        <v>541</v>
      </c>
      <c r="AL40" s="282"/>
      <c r="AM40" s="59" t="s">
        <v>541</v>
      </c>
      <c r="AN40" s="59" t="s">
        <v>542</v>
      </c>
      <c r="AO40" s="62" t="s">
        <v>543</v>
      </c>
      <c r="AP40" s="62"/>
      <c r="AQ40" s="62"/>
      <c r="AR40" s="62"/>
      <c r="AS40" s="62"/>
      <c r="AT40" s="62"/>
      <c r="AU40" s="62"/>
      <c r="AV40" s="62"/>
      <c r="AW40" s="62"/>
      <c r="AX40" s="62"/>
    </row>
    <row r="41" spans="1:83" s="218" customFormat="1" ht="10" x14ac:dyDescent="0.25">
      <c r="A41" s="704" t="s">
        <v>192</v>
      </c>
      <c r="B41" s="705" t="s">
        <v>797</v>
      </c>
      <c r="C41" s="706"/>
      <c r="D41" s="707"/>
      <c r="E41" s="708"/>
      <c r="F41" s="707"/>
      <c r="G41" s="708"/>
      <c r="H41" s="707"/>
      <c r="I41" s="708"/>
      <c r="J41" s="707"/>
      <c r="K41" s="708"/>
      <c r="L41" s="707">
        <f t="shared" si="6"/>
        <v>0</v>
      </c>
      <c r="M41" s="707">
        <f t="shared" si="0"/>
        <v>0</v>
      </c>
      <c r="N41" s="755">
        <f t="shared" si="2"/>
        <v>0</v>
      </c>
      <c r="O41" s="707"/>
      <c r="P41" s="709"/>
      <c r="Q41" s="710">
        <v>0.4</v>
      </c>
      <c r="R41" s="720">
        <v>0.04</v>
      </c>
      <c r="S41" s="720">
        <v>0.04</v>
      </c>
      <c r="T41" s="712">
        <f t="shared" si="5"/>
        <v>0.04</v>
      </c>
      <c r="U41" s="707" t="str">
        <f t="shared" si="8"/>
        <v>(c)</v>
      </c>
      <c r="V41" s="721"/>
      <c r="W41" s="709"/>
      <c r="X41" s="707"/>
      <c r="Y41" s="707"/>
      <c r="Z41" s="707"/>
      <c r="AA41" s="752"/>
      <c r="AB41" s="713"/>
      <c r="AC41" s="709">
        <f t="shared" si="4"/>
        <v>0.04</v>
      </c>
      <c r="AD41" s="748" t="s">
        <v>474</v>
      </c>
      <c r="AE41" s="714" t="s">
        <v>122</v>
      </c>
      <c r="AF41" s="715"/>
      <c r="AG41" s="272" t="s">
        <v>547</v>
      </c>
      <c r="AH41" s="273" t="s">
        <v>548</v>
      </c>
      <c r="AI41" s="274" t="s">
        <v>549</v>
      </c>
      <c r="AJ41" s="274">
        <v>3</v>
      </c>
      <c r="AK41" s="291" t="s">
        <v>558</v>
      </c>
      <c r="AL41" s="282"/>
      <c r="AM41" s="59">
        <v>12675</v>
      </c>
      <c r="AN41" s="250">
        <v>36544</v>
      </c>
      <c r="AO41" s="62" t="s">
        <v>636</v>
      </c>
      <c r="AP41" s="62"/>
      <c r="AQ41" s="62"/>
      <c r="AR41" s="62"/>
      <c r="AS41" s="62"/>
      <c r="AT41" s="62"/>
      <c r="AU41" s="62"/>
      <c r="AV41" s="62"/>
      <c r="AW41" s="62"/>
      <c r="AX41" s="62"/>
    </row>
    <row r="42" spans="1:83" s="218" customFormat="1" ht="10" x14ac:dyDescent="0.25">
      <c r="A42" s="704" t="s">
        <v>193</v>
      </c>
      <c r="B42" s="705" t="s">
        <v>798</v>
      </c>
      <c r="C42" s="706"/>
      <c r="D42" s="707"/>
      <c r="E42" s="708"/>
      <c r="F42" s="707"/>
      <c r="G42" s="708"/>
      <c r="H42" s="707"/>
      <c r="I42" s="708"/>
      <c r="J42" s="707"/>
      <c r="K42" s="708"/>
      <c r="L42" s="707">
        <f t="shared" si="6"/>
        <v>0</v>
      </c>
      <c r="M42" s="707">
        <f t="shared" si="0"/>
        <v>0</v>
      </c>
      <c r="N42" s="755">
        <f t="shared" si="2"/>
        <v>0</v>
      </c>
      <c r="O42" s="707"/>
      <c r="P42" s="709"/>
      <c r="Q42" s="717">
        <v>34000</v>
      </c>
      <c r="R42" s="718">
        <v>3400</v>
      </c>
      <c r="S42" s="718">
        <v>3400</v>
      </c>
      <c r="T42" s="712">
        <f t="shared" si="5"/>
        <v>3400</v>
      </c>
      <c r="U42" s="707" t="str">
        <f t="shared" si="8"/>
        <v>(c)</v>
      </c>
      <c r="V42" s="721"/>
      <c r="W42" s="709"/>
      <c r="X42" s="707"/>
      <c r="Y42" s="707"/>
      <c r="Z42" s="707"/>
      <c r="AA42" s="752"/>
      <c r="AB42" s="713"/>
      <c r="AC42" s="709">
        <f t="shared" si="4"/>
        <v>3400</v>
      </c>
      <c r="AD42" s="748" t="s">
        <v>474</v>
      </c>
      <c r="AE42" s="714" t="s">
        <v>494</v>
      </c>
      <c r="AF42" s="715"/>
      <c r="AG42" s="272" t="s">
        <v>637</v>
      </c>
      <c r="AH42" s="273" t="s">
        <v>638</v>
      </c>
      <c r="AI42" s="274" t="s">
        <v>549</v>
      </c>
      <c r="AJ42" s="274" t="s">
        <v>639</v>
      </c>
      <c r="AK42" s="291" t="s">
        <v>558</v>
      </c>
      <c r="AL42" s="282"/>
      <c r="AM42" s="59">
        <v>6360</v>
      </c>
      <c r="AN42" s="250">
        <v>36782</v>
      </c>
      <c r="AO42" s="62" t="s">
        <v>640</v>
      </c>
      <c r="AP42" s="62"/>
      <c r="AQ42" s="62"/>
      <c r="AR42" s="62"/>
      <c r="AS42" s="62"/>
      <c r="AT42" s="62"/>
      <c r="AU42" s="62"/>
      <c r="AV42" s="62"/>
      <c r="AW42" s="62"/>
      <c r="AX42" s="62"/>
      <c r="CE42" s="218" t="s">
        <v>582</v>
      </c>
    </row>
    <row r="43" spans="1:83" s="218" customFormat="1" ht="10" x14ac:dyDescent="0.25">
      <c r="A43" s="704" t="s">
        <v>194</v>
      </c>
      <c r="B43" s="705" t="s">
        <v>799</v>
      </c>
      <c r="C43" s="706"/>
      <c r="D43" s="707"/>
      <c r="E43" s="708"/>
      <c r="F43" s="707"/>
      <c r="G43" s="708"/>
      <c r="H43" s="707"/>
      <c r="I43" s="708"/>
      <c r="J43" s="707"/>
      <c r="K43" s="708"/>
      <c r="L43" s="707">
        <f t="shared" si="6"/>
        <v>0</v>
      </c>
      <c r="M43" s="707">
        <f t="shared" si="0"/>
        <v>0</v>
      </c>
      <c r="N43" s="755">
        <f t="shared" si="2"/>
        <v>0</v>
      </c>
      <c r="O43" s="707"/>
      <c r="P43" s="709"/>
      <c r="Q43" s="710">
        <v>780</v>
      </c>
      <c r="R43" s="720">
        <v>78</v>
      </c>
      <c r="S43" s="720">
        <v>78</v>
      </c>
      <c r="T43" s="712">
        <f t="shared" si="5"/>
        <v>78</v>
      </c>
      <c r="U43" s="707" t="str">
        <f t="shared" si="8"/>
        <v>(c)</v>
      </c>
      <c r="V43" s="721"/>
      <c r="W43" s="709"/>
      <c r="X43" s="707"/>
      <c r="Y43" s="707"/>
      <c r="Z43" s="707"/>
      <c r="AA43" s="752"/>
      <c r="AB43" s="713"/>
      <c r="AC43" s="709">
        <f t="shared" si="4"/>
        <v>78</v>
      </c>
      <c r="AD43" s="748" t="s">
        <v>583</v>
      </c>
      <c r="AE43" s="714" t="s">
        <v>495</v>
      </c>
      <c r="AF43" s="715"/>
      <c r="AG43" s="275" t="s">
        <v>547</v>
      </c>
      <c r="AH43" s="276" t="s">
        <v>548</v>
      </c>
      <c r="AI43" s="274" t="s">
        <v>641</v>
      </c>
      <c r="AJ43" s="274">
        <v>24</v>
      </c>
      <c r="AK43" s="291" t="s">
        <v>561</v>
      </c>
      <c r="AL43" s="282"/>
      <c r="AM43" s="59">
        <v>15526</v>
      </c>
      <c r="AN43" s="250">
        <v>36899</v>
      </c>
      <c r="AO43" s="62" t="s">
        <v>642</v>
      </c>
      <c r="AP43" s="62"/>
      <c r="AQ43" s="62"/>
      <c r="AR43" s="62"/>
      <c r="AS43" s="62"/>
      <c r="AT43" s="62"/>
      <c r="AU43" s="62"/>
      <c r="AV43" s="62"/>
      <c r="AW43" s="62"/>
      <c r="AX43" s="62"/>
    </row>
    <row r="44" spans="1:83" s="218" customFormat="1" ht="10" x14ac:dyDescent="0.25">
      <c r="A44" s="704" t="s">
        <v>195</v>
      </c>
      <c r="B44" s="705" t="s">
        <v>800</v>
      </c>
      <c r="C44" s="706"/>
      <c r="D44" s="707"/>
      <c r="E44" s="708"/>
      <c r="F44" s="707"/>
      <c r="G44" s="708"/>
      <c r="H44" s="707"/>
      <c r="I44" s="708"/>
      <c r="J44" s="707"/>
      <c r="K44" s="708"/>
      <c r="L44" s="707">
        <f t="shared" si="6"/>
        <v>0</v>
      </c>
      <c r="M44" s="707">
        <f t="shared" si="0"/>
        <v>0</v>
      </c>
      <c r="N44" s="755">
        <f t="shared" si="2"/>
        <v>0</v>
      </c>
      <c r="O44" s="707"/>
      <c r="P44" s="709">
        <v>1450</v>
      </c>
      <c r="Q44" s="710"/>
      <c r="R44" s="720"/>
      <c r="S44" s="720">
        <v>1500</v>
      </c>
      <c r="T44" s="712">
        <f t="shared" si="5"/>
        <v>1450</v>
      </c>
      <c r="U44" s="707">
        <f t="shared" si="8"/>
        <v>0</v>
      </c>
      <c r="V44" s="721"/>
      <c r="W44" s="709"/>
      <c r="X44" s="707"/>
      <c r="Y44" s="707"/>
      <c r="Z44" s="707"/>
      <c r="AA44" s="752"/>
      <c r="AB44" s="713"/>
      <c r="AC44" s="709">
        <f t="shared" si="4"/>
        <v>1500</v>
      </c>
      <c r="AD44" s="748" t="s">
        <v>473</v>
      </c>
      <c r="AE44" s="714" t="s">
        <v>496</v>
      </c>
      <c r="AF44" s="715"/>
      <c r="AG44" s="275" t="s">
        <v>547</v>
      </c>
      <c r="AH44" s="276" t="s">
        <v>548</v>
      </c>
      <c r="AI44" s="274" t="s">
        <v>643</v>
      </c>
      <c r="AJ44" s="274">
        <v>768</v>
      </c>
      <c r="AK44" s="291" t="s">
        <v>550</v>
      </c>
      <c r="AL44" s="282"/>
      <c r="AM44" s="59">
        <v>4433</v>
      </c>
      <c r="AN44" s="250">
        <v>36899</v>
      </c>
      <c r="AO44" s="62" t="s">
        <v>644</v>
      </c>
      <c r="AP44" s="62"/>
      <c r="AQ44" s="62"/>
      <c r="AR44" s="62"/>
      <c r="AS44" s="62"/>
      <c r="AT44" s="62"/>
      <c r="AU44" s="62"/>
      <c r="AV44" s="62"/>
      <c r="AW44" s="62"/>
      <c r="AX44" s="62"/>
    </row>
    <row r="45" spans="1:83" s="218" customFormat="1" ht="10" x14ac:dyDescent="0.25">
      <c r="A45" s="704" t="s">
        <v>196</v>
      </c>
      <c r="B45" s="705" t="s">
        <v>801</v>
      </c>
      <c r="C45" s="706"/>
      <c r="D45" s="707"/>
      <c r="E45" s="708"/>
      <c r="F45" s="707"/>
      <c r="G45" s="708"/>
      <c r="H45" s="707"/>
      <c r="I45" s="708"/>
      <c r="J45" s="707"/>
      <c r="K45" s="708"/>
      <c r="L45" s="707">
        <f t="shared" si="6"/>
        <v>0</v>
      </c>
      <c r="M45" s="707">
        <f t="shared" si="0"/>
        <v>0</v>
      </c>
      <c r="N45" s="755">
        <f t="shared" si="2"/>
        <v>0</v>
      </c>
      <c r="O45" s="707"/>
      <c r="P45" s="709">
        <v>314</v>
      </c>
      <c r="Q45" s="710"/>
      <c r="R45" s="720"/>
      <c r="S45" s="720">
        <v>310</v>
      </c>
      <c r="T45" s="712">
        <f t="shared" si="5"/>
        <v>314</v>
      </c>
      <c r="U45" s="707">
        <f t="shared" si="8"/>
        <v>0</v>
      </c>
      <c r="V45" s="721"/>
      <c r="W45" s="709"/>
      <c r="X45" s="707"/>
      <c r="Y45" s="707"/>
      <c r="Z45" s="707"/>
      <c r="AA45" s="752"/>
      <c r="AB45" s="713"/>
      <c r="AC45" s="709">
        <f t="shared" si="4"/>
        <v>310</v>
      </c>
      <c r="AD45" s="748" t="s">
        <v>473</v>
      </c>
      <c r="AE45" s="714" t="s">
        <v>497</v>
      </c>
      <c r="AF45" s="715"/>
      <c r="AG45" s="272" t="s">
        <v>645</v>
      </c>
      <c r="AH45" s="273" t="s">
        <v>646</v>
      </c>
      <c r="AI45" s="274" t="s">
        <v>549</v>
      </c>
      <c r="AJ45" s="274">
        <v>672</v>
      </c>
      <c r="AK45" s="291" t="s">
        <v>550</v>
      </c>
      <c r="AL45" s="282"/>
      <c r="AM45" s="59">
        <v>140</v>
      </c>
      <c r="AN45" s="250">
        <v>37169</v>
      </c>
      <c r="AO45" s="62" t="s">
        <v>647</v>
      </c>
      <c r="AP45" s="62"/>
      <c r="AQ45" s="62"/>
      <c r="AR45" s="62"/>
      <c r="AS45" s="62"/>
      <c r="AT45" s="62"/>
      <c r="AU45" s="62"/>
      <c r="AV45" s="62"/>
      <c r="AW45" s="62"/>
      <c r="AX45" s="62"/>
      <c r="CE45" s="218" t="s">
        <v>584</v>
      </c>
    </row>
    <row r="46" spans="1:83" s="218" customFormat="1" ht="10" x14ac:dyDescent="0.25">
      <c r="A46" s="704" t="s">
        <v>197</v>
      </c>
      <c r="B46" s="705" t="s">
        <v>802</v>
      </c>
      <c r="C46" s="706"/>
      <c r="D46" s="707"/>
      <c r="E46" s="708"/>
      <c r="F46" s="707"/>
      <c r="G46" s="708"/>
      <c r="H46" s="707"/>
      <c r="I46" s="708"/>
      <c r="J46" s="707"/>
      <c r="K46" s="708"/>
      <c r="L46" s="707">
        <f t="shared" si="6"/>
        <v>0</v>
      </c>
      <c r="M46" s="707">
        <f t="shared" si="0"/>
        <v>0</v>
      </c>
      <c r="N46" s="755">
        <f t="shared" si="2"/>
        <v>0</v>
      </c>
      <c r="O46" s="707"/>
      <c r="P46" s="709"/>
      <c r="Q46" s="710">
        <v>730</v>
      </c>
      <c r="R46" s="720">
        <v>73</v>
      </c>
      <c r="S46" s="720">
        <v>73</v>
      </c>
      <c r="T46" s="712">
        <f t="shared" si="5"/>
        <v>73</v>
      </c>
      <c r="U46" s="707" t="str">
        <f t="shared" si="8"/>
        <v>(c)</v>
      </c>
      <c r="V46" s="721"/>
      <c r="W46" s="709"/>
      <c r="X46" s="707"/>
      <c r="Y46" s="707"/>
      <c r="Z46" s="707"/>
      <c r="AA46" s="752"/>
      <c r="AB46" s="713"/>
      <c r="AC46" s="709">
        <f t="shared" si="4"/>
        <v>73</v>
      </c>
      <c r="AD46" s="748" t="s">
        <v>474</v>
      </c>
      <c r="AE46" s="714" t="s">
        <v>498</v>
      </c>
      <c r="AF46" s="715"/>
      <c r="AG46" s="272" t="s">
        <v>648</v>
      </c>
      <c r="AH46" s="273" t="s">
        <v>649</v>
      </c>
      <c r="AI46" s="274" t="s">
        <v>549</v>
      </c>
      <c r="AJ46" s="274">
        <v>48</v>
      </c>
      <c r="AK46" s="291" t="s">
        <v>561</v>
      </c>
      <c r="AL46" s="282"/>
      <c r="AM46" s="59">
        <v>17138</v>
      </c>
      <c r="AN46" s="250">
        <v>36782</v>
      </c>
      <c r="AO46" s="62" t="s">
        <v>650</v>
      </c>
      <c r="AP46" s="62"/>
      <c r="AQ46" s="62"/>
      <c r="AR46" s="62"/>
      <c r="AS46" s="62"/>
      <c r="AT46" s="62"/>
      <c r="AU46" s="62"/>
      <c r="AV46" s="62"/>
      <c r="AW46" s="62"/>
      <c r="AX46" s="62"/>
    </row>
    <row r="47" spans="1:83" s="218" customFormat="1" ht="20" x14ac:dyDescent="0.25">
      <c r="A47" s="704" t="s">
        <v>198</v>
      </c>
      <c r="B47" s="705" t="s">
        <v>803</v>
      </c>
      <c r="C47" s="706"/>
      <c r="D47" s="707"/>
      <c r="E47" s="708"/>
      <c r="F47" s="707"/>
      <c r="G47" s="708"/>
      <c r="H47" s="707"/>
      <c r="I47" s="708"/>
      <c r="J47" s="707"/>
      <c r="K47" s="708"/>
      <c r="L47" s="707">
        <f t="shared" si="6"/>
        <v>0</v>
      </c>
      <c r="M47" s="707">
        <f t="shared" si="0"/>
        <v>0</v>
      </c>
      <c r="N47" s="755">
        <f t="shared" si="2"/>
        <v>0</v>
      </c>
      <c r="O47" s="707"/>
      <c r="P47" s="709">
        <v>0.18</v>
      </c>
      <c r="Q47" s="710"/>
      <c r="R47" s="720"/>
      <c r="S47" s="720">
        <v>0.18</v>
      </c>
      <c r="T47" s="712">
        <f t="shared" si="5"/>
        <v>0.18</v>
      </c>
      <c r="U47" s="707">
        <f t="shared" si="8"/>
        <v>0</v>
      </c>
      <c r="V47" s="721"/>
      <c r="W47" s="709"/>
      <c r="X47" s="707"/>
      <c r="Y47" s="707"/>
      <c r="Z47" s="707"/>
      <c r="AA47" s="752"/>
      <c r="AB47" s="713"/>
      <c r="AC47" s="709">
        <f t="shared" si="4"/>
        <v>0.18</v>
      </c>
      <c r="AD47" s="748" t="s">
        <v>475</v>
      </c>
      <c r="AE47" s="714" t="s">
        <v>499</v>
      </c>
      <c r="AF47" s="715"/>
      <c r="AG47" s="272" t="s">
        <v>651</v>
      </c>
      <c r="AH47" s="273" t="s">
        <v>652</v>
      </c>
      <c r="AI47" s="274" t="s">
        <v>549</v>
      </c>
      <c r="AJ47" s="274">
        <v>240</v>
      </c>
      <c r="AK47" s="291" t="s">
        <v>550</v>
      </c>
      <c r="AL47" s="282"/>
      <c r="AM47" s="59">
        <v>14907</v>
      </c>
      <c r="AN47" s="250">
        <v>36783</v>
      </c>
      <c r="AO47" s="216" t="s">
        <v>653</v>
      </c>
      <c r="AP47" s="62"/>
      <c r="AQ47" s="62"/>
      <c r="AR47" s="62"/>
      <c r="AS47" s="62"/>
      <c r="AT47" s="62"/>
      <c r="AU47" s="62"/>
      <c r="AV47" s="62"/>
      <c r="AW47" s="62"/>
      <c r="AX47" s="62"/>
      <c r="CE47" s="218" t="s">
        <v>585</v>
      </c>
    </row>
    <row r="48" spans="1:83" s="218" customFormat="1" ht="20" x14ac:dyDescent="0.25">
      <c r="A48" s="704" t="s">
        <v>199</v>
      </c>
      <c r="B48" s="705" t="s">
        <v>804</v>
      </c>
      <c r="C48" s="706"/>
      <c r="D48" s="707"/>
      <c r="E48" s="708"/>
      <c r="F48" s="707"/>
      <c r="G48" s="708"/>
      <c r="H48" s="707"/>
      <c r="I48" s="708"/>
      <c r="J48" s="707"/>
      <c r="K48" s="708"/>
      <c r="L48" s="707">
        <f t="shared" si="6"/>
        <v>0</v>
      </c>
      <c r="M48" s="707">
        <f t="shared" si="0"/>
        <v>0</v>
      </c>
      <c r="N48" s="755">
        <f t="shared" si="2"/>
        <v>0</v>
      </c>
      <c r="O48" s="707"/>
      <c r="P48" s="709">
        <v>1.66</v>
      </c>
      <c r="Q48" s="710"/>
      <c r="R48" s="720"/>
      <c r="S48" s="720">
        <v>1.7</v>
      </c>
      <c r="T48" s="712">
        <f t="shared" si="5"/>
        <v>1.66</v>
      </c>
      <c r="U48" s="707">
        <f t="shared" si="8"/>
        <v>0</v>
      </c>
      <c r="V48" s="721"/>
      <c r="W48" s="709"/>
      <c r="X48" s="707"/>
      <c r="Y48" s="707"/>
      <c r="Z48" s="707"/>
      <c r="AA48" s="752"/>
      <c r="AB48" s="713"/>
      <c r="AC48" s="709">
        <f t="shared" si="4"/>
        <v>1.7</v>
      </c>
      <c r="AD48" s="748" t="s">
        <v>475</v>
      </c>
      <c r="AE48" s="727" t="s">
        <v>500</v>
      </c>
      <c r="AF48" s="728"/>
      <c r="AG48" s="272" t="s">
        <v>654</v>
      </c>
      <c r="AH48" s="273" t="s">
        <v>655</v>
      </c>
      <c r="AI48" s="274" t="s">
        <v>549</v>
      </c>
      <c r="AJ48" s="274">
        <v>240</v>
      </c>
      <c r="AK48" s="291" t="s">
        <v>550</v>
      </c>
      <c r="AL48" s="282"/>
      <c r="AM48" s="59">
        <v>13475</v>
      </c>
      <c r="AN48" s="250">
        <v>36517</v>
      </c>
      <c r="AO48" s="62" t="s">
        <v>656</v>
      </c>
      <c r="AP48" s="62"/>
      <c r="AQ48" s="62"/>
      <c r="AR48" s="62"/>
      <c r="AS48" s="62"/>
      <c r="AT48" s="62"/>
      <c r="AU48" s="62"/>
      <c r="AV48" s="62"/>
      <c r="AW48" s="62"/>
      <c r="AX48" s="62"/>
    </row>
    <row r="49" spans="1:83" s="218" customFormat="1" ht="20" x14ac:dyDescent="0.25">
      <c r="A49" s="704" t="s">
        <v>200</v>
      </c>
      <c r="B49" s="729" t="s">
        <v>805</v>
      </c>
      <c r="C49" s="706"/>
      <c r="D49" s="707">
        <v>1.1000000000000001</v>
      </c>
      <c r="E49" s="708"/>
      <c r="F49" s="707">
        <v>1E-3</v>
      </c>
      <c r="G49" s="708"/>
      <c r="H49" s="707">
        <v>0.13</v>
      </c>
      <c r="I49" s="708"/>
      <c r="J49" s="707">
        <v>1E-3</v>
      </c>
      <c r="K49" s="708"/>
      <c r="L49" s="707">
        <f t="shared" si="6"/>
        <v>1E-3</v>
      </c>
      <c r="M49" s="707">
        <f t="shared" si="0"/>
        <v>1E-3</v>
      </c>
      <c r="N49" s="755" t="str">
        <f t="shared" si="2"/>
        <v>CCC(SW)</v>
      </c>
      <c r="O49" s="707"/>
      <c r="P49" s="709"/>
      <c r="Q49" s="710"/>
      <c r="R49" s="720"/>
      <c r="S49" s="720"/>
      <c r="T49" s="712">
        <f t="shared" si="5"/>
        <v>0</v>
      </c>
      <c r="U49" s="707">
        <f t="shared" si="8"/>
        <v>0</v>
      </c>
      <c r="V49" s="713"/>
      <c r="W49" s="709"/>
      <c r="X49" s="707"/>
      <c r="Y49" s="707"/>
      <c r="Z49" s="707"/>
      <c r="AA49" s="752"/>
      <c r="AB49" s="713"/>
      <c r="AC49" s="709">
        <f t="shared" si="4"/>
        <v>1E-3</v>
      </c>
      <c r="AD49" s="748" t="str">
        <f>IF(AC49=0,"No Data",IF(AC49=M49,N49,IF(AC49=Q49/10,"AQUIRE(ACUTE)/10",IF(AC49=P49,"AQUIRE(CHRONIC)",IF(AC49=W49,"Lowest Chronic","Tier II Chronic")))))</f>
        <v>CCC(SW)</v>
      </c>
      <c r="AE49" s="714" t="s">
        <v>118</v>
      </c>
      <c r="AF49" s="715"/>
      <c r="AG49" s="272" t="s">
        <v>541</v>
      </c>
      <c r="AH49" s="273" t="s">
        <v>541</v>
      </c>
      <c r="AI49" s="274" t="s">
        <v>541</v>
      </c>
      <c r="AJ49" s="274" t="s">
        <v>541</v>
      </c>
      <c r="AK49" s="291" t="s">
        <v>541</v>
      </c>
      <c r="AL49" s="282"/>
      <c r="AM49" s="59" t="s">
        <v>541</v>
      </c>
      <c r="AN49" s="59" t="s">
        <v>542</v>
      </c>
      <c r="AO49" s="62" t="s">
        <v>543</v>
      </c>
      <c r="AP49" s="62"/>
      <c r="AQ49" s="62"/>
      <c r="AR49" s="62"/>
      <c r="AS49" s="62"/>
      <c r="AT49" s="62"/>
      <c r="AU49" s="62"/>
      <c r="AV49" s="62"/>
      <c r="AW49" s="62"/>
      <c r="AX49" s="62"/>
    </row>
    <row r="50" spans="1:83" s="218" customFormat="1" ht="10" x14ac:dyDescent="0.25">
      <c r="A50" s="704" t="s">
        <v>201</v>
      </c>
      <c r="B50" s="705" t="s">
        <v>806</v>
      </c>
      <c r="C50" s="706"/>
      <c r="D50" s="707"/>
      <c r="E50" s="708"/>
      <c r="F50" s="707"/>
      <c r="G50" s="708"/>
      <c r="H50" s="707"/>
      <c r="I50" s="708"/>
      <c r="J50" s="707"/>
      <c r="K50" s="708"/>
      <c r="L50" s="707">
        <f t="shared" si="6"/>
        <v>0</v>
      </c>
      <c r="M50" s="707">
        <f t="shared" si="0"/>
        <v>0</v>
      </c>
      <c r="N50" s="755">
        <f t="shared" si="2"/>
        <v>0</v>
      </c>
      <c r="O50" s="707"/>
      <c r="P50" s="709"/>
      <c r="Q50" s="710"/>
      <c r="R50" s="720"/>
      <c r="S50" s="730"/>
      <c r="T50" s="712">
        <f t="shared" si="5"/>
        <v>0</v>
      </c>
      <c r="U50" s="707" t="s">
        <v>119</v>
      </c>
      <c r="V50" s="713"/>
      <c r="W50" s="719"/>
      <c r="X50" s="707"/>
      <c r="Y50" s="707"/>
      <c r="Z50" s="722"/>
      <c r="AA50" s="752"/>
      <c r="AB50" s="713"/>
      <c r="AC50" s="709">
        <v>990</v>
      </c>
      <c r="AD50" s="748" t="s">
        <v>473</v>
      </c>
      <c r="AE50" s="714" t="s">
        <v>501</v>
      </c>
      <c r="AF50" s="715"/>
      <c r="AG50" s="275"/>
      <c r="AH50" s="276"/>
      <c r="AI50" s="274"/>
      <c r="AJ50" s="274"/>
      <c r="AK50" s="291"/>
      <c r="AL50" s="282"/>
      <c r="AM50" s="59"/>
      <c r="AN50" s="250">
        <v>37183</v>
      </c>
      <c r="AO50" s="251" t="s">
        <v>657</v>
      </c>
      <c r="AP50" s="62"/>
      <c r="AQ50" s="62"/>
      <c r="AR50" s="62"/>
      <c r="AS50" s="62"/>
      <c r="AT50" s="62"/>
      <c r="AU50" s="62"/>
      <c r="AV50" s="62"/>
      <c r="AW50" s="62"/>
      <c r="AX50" s="62"/>
    </row>
    <row r="51" spans="1:83" s="218" customFormat="1" ht="20" x14ac:dyDescent="0.25">
      <c r="A51" s="704" t="s">
        <v>202</v>
      </c>
      <c r="B51" s="705" t="s">
        <v>807</v>
      </c>
      <c r="C51" s="706"/>
      <c r="D51" s="707"/>
      <c r="E51" s="708"/>
      <c r="F51" s="707"/>
      <c r="G51" s="708"/>
      <c r="H51" s="707"/>
      <c r="I51" s="708"/>
      <c r="J51" s="707"/>
      <c r="K51" s="708"/>
      <c r="L51" s="707">
        <f t="shared" si="6"/>
        <v>0</v>
      </c>
      <c r="M51" s="707">
        <f t="shared" si="0"/>
        <v>0</v>
      </c>
      <c r="N51" s="755">
        <f t="shared" si="2"/>
        <v>0</v>
      </c>
      <c r="O51" s="707"/>
      <c r="P51" s="709"/>
      <c r="Q51" s="710"/>
      <c r="R51" s="711"/>
      <c r="S51" s="711"/>
      <c r="T51" s="712">
        <f t="shared" si="5"/>
        <v>0</v>
      </c>
      <c r="U51" s="707">
        <f>IF(T51=0,0,IF(T51=Q51/10,"(c)",0))</f>
        <v>0</v>
      </c>
      <c r="V51" s="713"/>
      <c r="W51" s="709">
        <v>990</v>
      </c>
      <c r="X51" s="722"/>
      <c r="Y51" s="722"/>
      <c r="Z51" s="722">
        <v>990</v>
      </c>
      <c r="AA51" s="752" t="s">
        <v>503</v>
      </c>
      <c r="AB51" s="713"/>
      <c r="AC51" s="709">
        <f t="shared" ref="AC51:AC70" si="9">IF(M51&lt;&gt;0,M51,IF(S51&lt;&gt;0,S51,IF(Z51&lt;&gt;0,Z51,)))</f>
        <v>990</v>
      </c>
      <c r="AD51" s="748" t="s">
        <v>473</v>
      </c>
      <c r="AE51" s="714" t="s">
        <v>628</v>
      </c>
      <c r="AF51" s="715"/>
      <c r="AG51" s="277" t="s">
        <v>659</v>
      </c>
      <c r="AH51" s="278" t="s">
        <v>661</v>
      </c>
      <c r="AI51" s="274" t="s">
        <v>631</v>
      </c>
      <c r="AJ51" s="274">
        <v>228</v>
      </c>
      <c r="AK51" s="291" t="s">
        <v>550</v>
      </c>
      <c r="AL51" s="282"/>
      <c r="AM51" s="59" t="s">
        <v>662</v>
      </c>
      <c r="AN51" s="250">
        <v>36899</v>
      </c>
      <c r="AO51" s="62" t="s">
        <v>633</v>
      </c>
      <c r="AP51" s="62"/>
      <c r="AQ51" s="62"/>
      <c r="AR51" s="62"/>
      <c r="AS51" s="62"/>
      <c r="AT51" s="62"/>
      <c r="AU51" s="62"/>
      <c r="AV51" s="62"/>
      <c r="AW51" s="62"/>
      <c r="AX51" s="62"/>
      <c r="CE51" s="300" t="s">
        <v>658</v>
      </c>
    </row>
    <row r="52" spans="1:83" s="218" customFormat="1" ht="10.5" x14ac:dyDescent="0.25">
      <c r="A52" s="704" t="s">
        <v>203</v>
      </c>
      <c r="B52" s="705" t="s">
        <v>808</v>
      </c>
      <c r="C52" s="706"/>
      <c r="D52" s="707"/>
      <c r="E52" s="708"/>
      <c r="F52" s="707"/>
      <c r="G52" s="708"/>
      <c r="H52" s="707"/>
      <c r="I52" s="708"/>
      <c r="J52" s="707"/>
      <c r="K52" s="708"/>
      <c r="L52" s="707">
        <f t="shared" si="6"/>
        <v>0</v>
      </c>
      <c r="M52" s="707">
        <f t="shared" si="0"/>
        <v>0</v>
      </c>
      <c r="N52" s="755">
        <f t="shared" si="2"/>
        <v>0</v>
      </c>
      <c r="O52" s="707"/>
      <c r="P52" s="709"/>
      <c r="Q52" s="710">
        <v>11600</v>
      </c>
      <c r="R52" s="731">
        <v>1160</v>
      </c>
      <c r="S52" s="731">
        <v>1200</v>
      </c>
      <c r="T52" s="712">
        <f t="shared" si="5"/>
        <v>1160</v>
      </c>
      <c r="U52" s="707" t="str">
        <f>IF(T52=0,0,IF(T52=Q52/10,"(c)",0))</f>
        <v>(c)</v>
      </c>
      <c r="V52" s="713"/>
      <c r="W52" s="709"/>
      <c r="X52" s="707"/>
      <c r="Y52" s="707"/>
      <c r="Z52" s="707"/>
      <c r="AA52" s="752"/>
      <c r="AB52" s="713"/>
      <c r="AC52" s="709">
        <f t="shared" si="9"/>
        <v>1200</v>
      </c>
      <c r="AD52" s="748" t="s">
        <v>474</v>
      </c>
      <c r="AE52" s="714" t="s">
        <v>502</v>
      </c>
      <c r="AF52" s="715"/>
      <c r="AG52" s="275" t="s">
        <v>547</v>
      </c>
      <c r="AH52" s="276" t="s">
        <v>548</v>
      </c>
      <c r="AI52" s="274" t="s">
        <v>549</v>
      </c>
      <c r="AJ52" s="274">
        <v>48</v>
      </c>
      <c r="AK52" s="291" t="s">
        <v>561</v>
      </c>
      <c r="AL52" s="282"/>
      <c r="AM52" s="59">
        <v>5741</v>
      </c>
      <c r="AN52" s="250">
        <v>36899</v>
      </c>
      <c r="AO52" s="62" t="s">
        <v>663</v>
      </c>
      <c r="AP52" s="62"/>
      <c r="AQ52" s="62"/>
      <c r="AR52" s="62"/>
      <c r="AS52" s="62"/>
      <c r="AT52" s="62"/>
      <c r="AU52" s="62"/>
      <c r="AV52" s="62"/>
      <c r="AW52" s="62"/>
      <c r="AX52" s="62"/>
      <c r="CE52" s="300"/>
    </row>
    <row r="53" spans="1:83" s="218" customFormat="1" ht="20" x14ac:dyDescent="0.25">
      <c r="A53" s="704" t="s">
        <v>204</v>
      </c>
      <c r="B53" s="705" t="s">
        <v>809</v>
      </c>
      <c r="C53" s="706"/>
      <c r="D53" s="707"/>
      <c r="E53" s="708"/>
      <c r="F53" s="707"/>
      <c r="G53" s="708"/>
      <c r="H53" s="707"/>
      <c r="I53" s="708"/>
      <c r="J53" s="707"/>
      <c r="K53" s="708"/>
      <c r="L53" s="707">
        <f t="shared" si="6"/>
        <v>0</v>
      </c>
      <c r="M53" s="707">
        <f t="shared" si="0"/>
        <v>0</v>
      </c>
      <c r="N53" s="755">
        <f t="shared" si="2"/>
        <v>0</v>
      </c>
      <c r="O53" s="707"/>
      <c r="P53" s="709"/>
      <c r="Q53" s="710"/>
      <c r="R53" s="720"/>
      <c r="S53" s="730"/>
      <c r="T53" s="712">
        <f t="shared" si="5"/>
        <v>0</v>
      </c>
      <c r="U53" s="707" t="s">
        <v>119</v>
      </c>
      <c r="V53" s="713"/>
      <c r="W53" s="709"/>
      <c r="X53" s="722">
        <v>140000</v>
      </c>
      <c r="Y53" s="722">
        <v>14000</v>
      </c>
      <c r="Z53" s="722">
        <v>14000</v>
      </c>
      <c r="AA53" s="752" t="s">
        <v>503</v>
      </c>
      <c r="AB53" s="713"/>
      <c r="AC53" s="709">
        <f t="shared" si="9"/>
        <v>14000</v>
      </c>
      <c r="AD53" s="748" t="s">
        <v>474</v>
      </c>
      <c r="AE53" s="714" t="s">
        <v>485</v>
      </c>
      <c r="AF53" s="715"/>
      <c r="AG53" s="275" t="s">
        <v>552</v>
      </c>
      <c r="AH53" s="276" t="s">
        <v>553</v>
      </c>
      <c r="AI53" s="274" t="s">
        <v>549</v>
      </c>
      <c r="AJ53" s="274">
        <v>96</v>
      </c>
      <c r="AK53" s="291" t="s">
        <v>561</v>
      </c>
      <c r="AL53" s="282"/>
      <c r="AM53" s="59"/>
      <c r="AN53" s="250">
        <v>36899</v>
      </c>
      <c r="AO53" s="62" t="s">
        <v>664</v>
      </c>
      <c r="AP53" s="62"/>
      <c r="AQ53" s="62"/>
      <c r="AR53" s="62"/>
      <c r="AS53" s="62"/>
      <c r="AT53" s="62"/>
      <c r="AU53" s="62"/>
      <c r="AV53" s="62"/>
      <c r="AW53" s="62"/>
      <c r="AX53" s="62"/>
      <c r="CE53" s="300"/>
    </row>
    <row r="54" spans="1:83" s="218" customFormat="1" ht="10.5" x14ac:dyDescent="0.25">
      <c r="A54" s="704" t="s">
        <v>205</v>
      </c>
      <c r="B54" s="705" t="s">
        <v>810</v>
      </c>
      <c r="C54" s="706"/>
      <c r="D54" s="707"/>
      <c r="E54" s="708"/>
      <c r="F54" s="707"/>
      <c r="G54" s="708"/>
      <c r="H54" s="707"/>
      <c r="I54" s="708"/>
      <c r="J54" s="707"/>
      <c r="K54" s="708"/>
      <c r="L54" s="707">
        <f t="shared" si="6"/>
        <v>0</v>
      </c>
      <c r="M54" s="707">
        <f t="shared" si="0"/>
        <v>0</v>
      </c>
      <c r="N54" s="755">
        <f t="shared" si="2"/>
        <v>0</v>
      </c>
      <c r="O54" s="707"/>
      <c r="P54" s="709"/>
      <c r="Q54" s="717">
        <v>220000</v>
      </c>
      <c r="R54" s="718">
        <v>22000</v>
      </c>
      <c r="S54" s="718">
        <v>22000</v>
      </c>
      <c r="T54" s="712">
        <f t="shared" si="5"/>
        <v>22000</v>
      </c>
      <c r="U54" s="707" t="str">
        <f t="shared" ref="U54:U70" si="10">IF(T54=0,0,IF(T54=Q54/10,"(c)",0))</f>
        <v>(c)</v>
      </c>
      <c r="V54" s="713"/>
      <c r="W54" s="709"/>
      <c r="X54" s="707"/>
      <c r="Y54" s="707"/>
      <c r="Z54" s="707"/>
      <c r="AA54" s="752"/>
      <c r="AB54" s="713"/>
      <c r="AC54" s="709">
        <f t="shared" si="9"/>
        <v>22000</v>
      </c>
      <c r="AD54" s="748" t="s">
        <v>474</v>
      </c>
      <c r="AE54" s="714" t="s">
        <v>123</v>
      </c>
      <c r="AF54" s="715"/>
      <c r="AG54" s="275" t="s">
        <v>547</v>
      </c>
      <c r="AH54" s="276" t="s">
        <v>548</v>
      </c>
      <c r="AI54" s="274" t="s">
        <v>549</v>
      </c>
      <c r="AJ54" s="274">
        <v>48</v>
      </c>
      <c r="AK54" s="291" t="s">
        <v>561</v>
      </c>
      <c r="AL54" s="282"/>
      <c r="AM54" s="59">
        <v>5184</v>
      </c>
      <c r="AN54" s="250">
        <v>36899</v>
      </c>
      <c r="AO54" s="62" t="s">
        <v>666</v>
      </c>
      <c r="AP54" s="62"/>
      <c r="AQ54" s="62"/>
      <c r="AR54" s="62"/>
      <c r="AS54" s="62"/>
      <c r="AT54" s="62"/>
      <c r="AU54" s="62"/>
      <c r="AV54" s="62"/>
      <c r="AW54" s="62"/>
      <c r="AX54" s="62"/>
      <c r="CE54" s="300" t="s">
        <v>665</v>
      </c>
    </row>
    <row r="55" spans="1:83" s="218" customFormat="1" ht="10.5" x14ac:dyDescent="0.25">
      <c r="A55" s="704" t="s">
        <v>206</v>
      </c>
      <c r="B55" s="705" t="s">
        <v>811</v>
      </c>
      <c r="C55" s="706"/>
      <c r="D55" s="707"/>
      <c r="E55" s="732"/>
      <c r="F55" s="707"/>
      <c r="G55" s="732"/>
      <c r="H55" s="707"/>
      <c r="I55" s="732"/>
      <c r="J55" s="707"/>
      <c r="K55" s="732"/>
      <c r="L55" s="707">
        <f t="shared" si="6"/>
        <v>0</v>
      </c>
      <c r="M55" s="707">
        <f t="shared" si="0"/>
        <v>0</v>
      </c>
      <c r="N55" s="755">
        <f t="shared" si="2"/>
        <v>0</v>
      </c>
      <c r="O55" s="707"/>
      <c r="P55" s="719">
        <v>6730</v>
      </c>
      <c r="Q55" s="710"/>
      <c r="R55" s="720"/>
      <c r="S55" s="718">
        <v>6700</v>
      </c>
      <c r="T55" s="712">
        <f t="shared" si="5"/>
        <v>6730</v>
      </c>
      <c r="U55" s="707">
        <f t="shared" si="10"/>
        <v>0</v>
      </c>
      <c r="V55" s="713"/>
      <c r="W55" s="709"/>
      <c r="X55" s="707"/>
      <c r="Y55" s="707"/>
      <c r="Z55" s="722"/>
      <c r="AA55" s="752"/>
      <c r="AB55" s="713"/>
      <c r="AC55" s="709">
        <f t="shared" si="9"/>
        <v>6700</v>
      </c>
      <c r="AD55" s="748" t="s">
        <v>473</v>
      </c>
      <c r="AE55" s="714" t="s">
        <v>667</v>
      </c>
      <c r="AF55" s="715"/>
      <c r="AG55" s="275" t="s">
        <v>668</v>
      </c>
      <c r="AH55" s="276" t="s">
        <v>669</v>
      </c>
      <c r="AI55" s="274" t="s">
        <v>549</v>
      </c>
      <c r="AJ55" s="274">
        <v>192</v>
      </c>
      <c r="AK55" s="291" t="s">
        <v>550</v>
      </c>
      <c r="AL55" s="282"/>
      <c r="AM55" s="59">
        <v>6187</v>
      </c>
      <c r="AN55" s="250">
        <v>37159</v>
      </c>
      <c r="AO55" s="62" t="s">
        <v>670</v>
      </c>
      <c r="AP55" s="62"/>
      <c r="AQ55" s="62"/>
      <c r="AR55" s="62"/>
      <c r="AS55" s="62"/>
      <c r="AT55" s="62"/>
      <c r="AU55" s="62"/>
      <c r="AV55" s="62"/>
      <c r="AW55" s="62"/>
      <c r="AX55" s="62"/>
      <c r="CE55" s="300"/>
    </row>
    <row r="56" spans="1:83" s="218" customFormat="1" ht="10.5" x14ac:dyDescent="0.25">
      <c r="A56" s="704" t="s">
        <v>207</v>
      </c>
      <c r="B56" s="705" t="s">
        <v>812</v>
      </c>
      <c r="C56" s="706"/>
      <c r="D56" s="707"/>
      <c r="E56" s="708"/>
      <c r="F56" s="707"/>
      <c r="G56" s="708"/>
      <c r="H56" s="707"/>
      <c r="I56" s="708"/>
      <c r="J56" s="707"/>
      <c r="K56" s="708"/>
      <c r="L56" s="707">
        <f t="shared" si="6"/>
        <v>0</v>
      </c>
      <c r="M56" s="707">
        <f t="shared" si="0"/>
        <v>0</v>
      </c>
      <c r="N56" s="755">
        <f t="shared" si="2"/>
        <v>0</v>
      </c>
      <c r="O56" s="707"/>
      <c r="P56" s="709">
        <v>80</v>
      </c>
      <c r="Q56" s="710"/>
      <c r="R56" s="720"/>
      <c r="S56" s="720">
        <v>80</v>
      </c>
      <c r="T56" s="712">
        <f t="shared" si="5"/>
        <v>80</v>
      </c>
      <c r="U56" s="707">
        <f t="shared" si="10"/>
        <v>0</v>
      </c>
      <c r="V56" s="713"/>
      <c r="W56" s="709"/>
      <c r="X56" s="707"/>
      <c r="Y56" s="707"/>
      <c r="Z56" s="707"/>
      <c r="AA56" s="752"/>
      <c r="AB56" s="713"/>
      <c r="AC56" s="709">
        <f t="shared" si="9"/>
        <v>80</v>
      </c>
      <c r="AD56" s="748" t="s">
        <v>475</v>
      </c>
      <c r="AE56" s="714" t="s">
        <v>489</v>
      </c>
      <c r="AF56" s="715"/>
      <c r="AG56" s="272" t="s">
        <v>671</v>
      </c>
      <c r="AH56" s="273" t="s">
        <v>672</v>
      </c>
      <c r="AI56" s="274" t="s">
        <v>549</v>
      </c>
      <c r="AJ56" s="274">
        <v>648</v>
      </c>
      <c r="AK56" s="291" t="s">
        <v>550</v>
      </c>
      <c r="AL56" s="282"/>
      <c r="AM56" s="59">
        <v>563</v>
      </c>
      <c r="AN56" s="250">
        <v>36899</v>
      </c>
      <c r="AO56" s="62" t="s">
        <v>626</v>
      </c>
      <c r="AP56" s="62"/>
      <c r="AQ56" s="62"/>
      <c r="AR56" s="62"/>
      <c r="AS56" s="62"/>
      <c r="AT56" s="62"/>
      <c r="AU56" s="62"/>
      <c r="AV56" s="62"/>
      <c r="AW56" s="62"/>
      <c r="AX56" s="62"/>
      <c r="CE56" s="300"/>
    </row>
    <row r="57" spans="1:83" s="218" customFormat="1" ht="10.5" x14ac:dyDescent="0.25">
      <c r="A57" s="704" t="s">
        <v>208</v>
      </c>
      <c r="B57" s="705" t="s">
        <v>813</v>
      </c>
      <c r="C57" s="706"/>
      <c r="D57" s="707"/>
      <c r="E57" s="708"/>
      <c r="F57" s="707"/>
      <c r="G57" s="708"/>
      <c r="H57" s="707"/>
      <c r="I57" s="708"/>
      <c r="J57" s="707"/>
      <c r="K57" s="708"/>
      <c r="L57" s="707">
        <f t="shared" si="6"/>
        <v>0</v>
      </c>
      <c r="M57" s="707">
        <f t="shared" si="0"/>
        <v>0</v>
      </c>
      <c r="N57" s="755">
        <f t="shared" si="2"/>
        <v>0</v>
      </c>
      <c r="O57" s="707"/>
      <c r="P57" s="719">
        <v>25000</v>
      </c>
      <c r="Q57" s="710"/>
      <c r="R57" s="720"/>
      <c r="S57" s="718">
        <v>25000</v>
      </c>
      <c r="T57" s="712">
        <f t="shared" si="5"/>
        <v>25000</v>
      </c>
      <c r="U57" s="707">
        <f t="shared" si="10"/>
        <v>0</v>
      </c>
      <c r="V57" s="713"/>
      <c r="W57" s="709"/>
      <c r="X57" s="707"/>
      <c r="Y57" s="707"/>
      <c r="Z57" s="707"/>
      <c r="AA57" s="752"/>
      <c r="AB57" s="713"/>
      <c r="AC57" s="709">
        <f t="shared" si="9"/>
        <v>25000</v>
      </c>
      <c r="AD57" s="748" t="s">
        <v>473</v>
      </c>
      <c r="AE57" s="714" t="s">
        <v>504</v>
      </c>
      <c r="AF57" s="715"/>
      <c r="AG57" s="272" t="s">
        <v>673</v>
      </c>
      <c r="AH57" s="273" t="s">
        <v>630</v>
      </c>
      <c r="AI57" s="274" t="s">
        <v>549</v>
      </c>
      <c r="AJ57" s="274">
        <v>768</v>
      </c>
      <c r="AK57" s="291" t="s">
        <v>550</v>
      </c>
      <c r="AL57" s="282"/>
      <c r="AM57" s="59">
        <v>15301</v>
      </c>
      <c r="AN57" s="250">
        <v>36899</v>
      </c>
      <c r="AO57" s="62" t="s">
        <v>674</v>
      </c>
      <c r="AP57" s="62"/>
      <c r="AQ57" s="62"/>
      <c r="AR57" s="62"/>
      <c r="AS57" s="62"/>
      <c r="AT57" s="62"/>
      <c r="AU57" s="62"/>
      <c r="AV57" s="62"/>
      <c r="AW57" s="62"/>
      <c r="AX57" s="62"/>
      <c r="CE57" s="300"/>
    </row>
    <row r="58" spans="1:83" s="218" customFormat="1" ht="10" x14ac:dyDescent="0.25">
      <c r="A58" s="704" t="s">
        <v>209</v>
      </c>
      <c r="B58" s="705" t="s">
        <v>814</v>
      </c>
      <c r="C58" s="706"/>
      <c r="D58" s="707"/>
      <c r="E58" s="708"/>
      <c r="F58" s="707"/>
      <c r="G58" s="708"/>
      <c r="H58" s="707"/>
      <c r="I58" s="708"/>
      <c r="J58" s="707"/>
      <c r="K58" s="708"/>
      <c r="L58" s="707">
        <f t="shared" si="6"/>
        <v>0</v>
      </c>
      <c r="M58" s="707">
        <f t="shared" si="0"/>
        <v>0</v>
      </c>
      <c r="N58" s="755">
        <f t="shared" si="2"/>
        <v>0</v>
      </c>
      <c r="O58" s="707"/>
      <c r="P58" s="709"/>
      <c r="Q58" s="710">
        <v>90</v>
      </c>
      <c r="R58" s="720">
        <v>9</v>
      </c>
      <c r="S58" s="720">
        <v>9</v>
      </c>
      <c r="T58" s="712">
        <f t="shared" si="5"/>
        <v>9</v>
      </c>
      <c r="U58" s="707" t="str">
        <f t="shared" si="10"/>
        <v>(c)</v>
      </c>
      <c r="V58" s="713"/>
      <c r="W58" s="709"/>
      <c r="X58" s="707"/>
      <c r="Y58" s="707"/>
      <c r="Z58" s="707"/>
      <c r="AA58" s="752"/>
      <c r="AB58" s="713"/>
      <c r="AC58" s="709">
        <f t="shared" si="9"/>
        <v>9</v>
      </c>
      <c r="AD58" s="748" t="s">
        <v>479</v>
      </c>
      <c r="AE58" s="714" t="s">
        <v>124</v>
      </c>
      <c r="AF58" s="715"/>
      <c r="AG58" s="272" t="s">
        <v>547</v>
      </c>
      <c r="AH58" s="273" t="s">
        <v>548</v>
      </c>
      <c r="AI58" s="274" t="s">
        <v>597</v>
      </c>
      <c r="AJ58" s="274">
        <v>48</v>
      </c>
      <c r="AK58" s="291" t="s">
        <v>561</v>
      </c>
      <c r="AL58" s="282"/>
      <c r="AM58" s="59">
        <v>666</v>
      </c>
      <c r="AN58" s="250">
        <v>36899</v>
      </c>
      <c r="AO58" s="62" t="s">
        <v>675</v>
      </c>
      <c r="AP58" s="62"/>
      <c r="AQ58" s="62"/>
      <c r="AR58" s="62"/>
      <c r="AS58" s="62"/>
      <c r="AT58" s="62"/>
      <c r="AU58" s="62"/>
      <c r="AV58" s="62"/>
      <c r="AW58" s="62"/>
      <c r="AX58" s="62"/>
    </row>
    <row r="59" spans="1:83" s="218" customFormat="1" ht="10.5" x14ac:dyDescent="0.25">
      <c r="A59" s="704" t="s">
        <v>210</v>
      </c>
      <c r="B59" s="705" t="s">
        <v>815</v>
      </c>
      <c r="C59" s="706"/>
      <c r="D59" s="707">
        <v>0.24</v>
      </c>
      <c r="E59" s="708"/>
      <c r="F59" s="707">
        <v>5.6000000000000001E-2</v>
      </c>
      <c r="G59" s="708"/>
      <c r="H59" s="707">
        <v>0.71</v>
      </c>
      <c r="I59" s="708"/>
      <c r="J59" s="707">
        <v>1.9E-3</v>
      </c>
      <c r="K59" s="708"/>
      <c r="L59" s="707">
        <f t="shared" si="6"/>
        <v>1.9E-3</v>
      </c>
      <c r="M59" s="707">
        <f t="shared" si="0"/>
        <v>1.9E-3</v>
      </c>
      <c r="N59" s="755" t="str">
        <f t="shared" si="2"/>
        <v>CCC(SW)</v>
      </c>
      <c r="O59" s="707"/>
      <c r="P59" s="709"/>
      <c r="Q59" s="710"/>
      <c r="R59" s="720"/>
      <c r="S59" s="720"/>
      <c r="T59" s="712">
        <f t="shared" si="5"/>
        <v>0</v>
      </c>
      <c r="U59" s="707">
        <f t="shared" si="10"/>
        <v>0</v>
      </c>
      <c r="V59" s="713"/>
      <c r="W59" s="709"/>
      <c r="X59" s="707"/>
      <c r="Y59" s="707"/>
      <c r="Z59" s="707"/>
      <c r="AA59" s="752"/>
      <c r="AB59" s="713"/>
      <c r="AC59" s="709">
        <f t="shared" si="9"/>
        <v>1.9E-3</v>
      </c>
      <c r="AD59" s="748" t="str">
        <f>IF(AC59=0,"No Data",IF(AC59=M59,N59,IF(AC59=Q59/10,"AQUIRE(ACUTE)/10",IF(AC59=P59,"AQUIRE(CHRONIC)",IF(AC59=W59,"Lowest Chronic","Tier II Chronic")))))</f>
        <v>CCC(SW)</v>
      </c>
      <c r="AE59" s="714" t="s">
        <v>118</v>
      </c>
      <c r="AF59" s="715"/>
      <c r="AG59" s="272" t="s">
        <v>541</v>
      </c>
      <c r="AH59" s="273" t="s">
        <v>541</v>
      </c>
      <c r="AI59" s="274" t="s">
        <v>541</v>
      </c>
      <c r="AJ59" s="274" t="s">
        <v>541</v>
      </c>
      <c r="AK59" s="291" t="s">
        <v>541</v>
      </c>
      <c r="AL59" s="282"/>
      <c r="AM59" s="59" t="s">
        <v>541</v>
      </c>
      <c r="AN59" s="59" t="s">
        <v>542</v>
      </c>
      <c r="AO59" s="62" t="s">
        <v>543</v>
      </c>
      <c r="AP59" s="62"/>
      <c r="AQ59" s="62"/>
      <c r="AR59" s="62"/>
      <c r="AS59" s="62"/>
      <c r="AT59" s="62"/>
      <c r="AU59" s="62"/>
      <c r="AV59" s="62"/>
      <c r="AW59" s="62"/>
      <c r="AX59" s="62"/>
      <c r="CE59" s="300"/>
    </row>
    <row r="60" spans="1:83" s="218" customFormat="1" ht="10.5" x14ac:dyDescent="0.25">
      <c r="A60" s="704" t="s">
        <v>211</v>
      </c>
      <c r="B60" s="705" t="s">
        <v>816</v>
      </c>
      <c r="C60" s="706"/>
      <c r="D60" s="707"/>
      <c r="E60" s="708"/>
      <c r="F60" s="707"/>
      <c r="G60" s="708"/>
      <c r="H60" s="707"/>
      <c r="I60" s="708"/>
      <c r="J60" s="707"/>
      <c r="K60" s="708"/>
      <c r="L60" s="707">
        <f t="shared" si="6"/>
        <v>0</v>
      </c>
      <c r="M60" s="707">
        <f t="shared" si="0"/>
        <v>0</v>
      </c>
      <c r="N60" s="755">
        <f t="shared" si="2"/>
        <v>0</v>
      </c>
      <c r="O60" s="707"/>
      <c r="P60" s="719"/>
      <c r="Q60" s="717">
        <v>3400</v>
      </c>
      <c r="R60" s="720">
        <v>340</v>
      </c>
      <c r="S60" s="720">
        <v>340</v>
      </c>
      <c r="T60" s="712">
        <f t="shared" si="5"/>
        <v>340</v>
      </c>
      <c r="U60" s="707" t="str">
        <f t="shared" si="10"/>
        <v>(c)</v>
      </c>
      <c r="V60" s="713"/>
      <c r="W60" s="709"/>
      <c r="X60" s="707"/>
      <c r="Y60" s="707"/>
      <c r="Z60" s="707"/>
      <c r="AA60" s="752"/>
      <c r="AB60" s="713"/>
      <c r="AC60" s="709">
        <f t="shared" si="9"/>
        <v>340</v>
      </c>
      <c r="AD60" s="748" t="s">
        <v>479</v>
      </c>
      <c r="AE60" s="714" t="s">
        <v>505</v>
      </c>
      <c r="AF60" s="715"/>
      <c r="AG60" s="275" t="s">
        <v>676</v>
      </c>
      <c r="AH60" s="276" t="s">
        <v>677</v>
      </c>
      <c r="AI60" s="274" t="s">
        <v>678</v>
      </c>
      <c r="AJ60" s="274">
        <v>96</v>
      </c>
      <c r="AK60" s="291" t="s">
        <v>561</v>
      </c>
      <c r="AL60" s="282"/>
      <c r="AM60" s="59">
        <v>555</v>
      </c>
      <c r="AN60" s="250">
        <v>36782</v>
      </c>
      <c r="AO60" s="216" t="s">
        <v>679</v>
      </c>
      <c r="AP60" s="62"/>
      <c r="AQ60" s="62"/>
      <c r="AR60" s="62"/>
      <c r="AS60" s="62"/>
      <c r="AT60" s="62"/>
      <c r="AU60" s="62"/>
      <c r="AV60" s="62"/>
      <c r="AW60" s="62"/>
      <c r="AX60" s="62"/>
      <c r="CE60" s="300"/>
    </row>
    <row r="61" spans="1:83" s="218" customFormat="1" ht="10.5" x14ac:dyDescent="0.25">
      <c r="A61" s="704" t="s">
        <v>212</v>
      </c>
      <c r="B61" s="705" t="s">
        <v>817</v>
      </c>
      <c r="C61" s="706"/>
      <c r="D61" s="707"/>
      <c r="E61" s="708"/>
      <c r="F61" s="707"/>
      <c r="G61" s="708"/>
      <c r="H61" s="707"/>
      <c r="I61" s="708"/>
      <c r="J61" s="707"/>
      <c r="K61" s="708"/>
      <c r="L61" s="707">
        <f t="shared" si="6"/>
        <v>0</v>
      </c>
      <c r="M61" s="707">
        <f t="shared" si="0"/>
        <v>0</v>
      </c>
      <c r="N61" s="755">
        <f t="shared" si="2"/>
        <v>0</v>
      </c>
      <c r="O61" s="707"/>
      <c r="P61" s="719">
        <v>23000</v>
      </c>
      <c r="Q61" s="710"/>
      <c r="R61" s="720"/>
      <c r="S61" s="718">
        <v>23000</v>
      </c>
      <c r="T61" s="712">
        <f t="shared" si="5"/>
        <v>23000</v>
      </c>
      <c r="U61" s="707">
        <f t="shared" si="10"/>
        <v>0</v>
      </c>
      <c r="V61" s="713"/>
      <c r="W61" s="709"/>
      <c r="X61" s="707"/>
      <c r="Y61" s="707"/>
      <c r="Z61" s="707"/>
      <c r="AA61" s="752"/>
      <c r="AB61" s="713"/>
      <c r="AC61" s="709">
        <f t="shared" si="9"/>
        <v>23000</v>
      </c>
      <c r="AD61" s="748" t="s">
        <v>473</v>
      </c>
      <c r="AE61" s="714" t="s">
        <v>482</v>
      </c>
      <c r="AF61" s="715"/>
      <c r="AG61" s="272" t="s">
        <v>547</v>
      </c>
      <c r="AH61" s="273" t="s">
        <v>548</v>
      </c>
      <c r="AI61" s="274" t="s">
        <v>549</v>
      </c>
      <c r="AJ61" s="274">
        <v>504</v>
      </c>
      <c r="AK61" s="291" t="s">
        <v>550</v>
      </c>
      <c r="AL61" s="282"/>
      <c r="AM61" s="59">
        <v>16380</v>
      </c>
      <c r="AN61" s="250">
        <v>36899</v>
      </c>
      <c r="AO61" s="62" t="s">
        <v>680</v>
      </c>
      <c r="AP61" s="62"/>
      <c r="AQ61" s="62"/>
      <c r="AR61" s="62"/>
      <c r="AS61" s="62"/>
      <c r="AT61" s="62"/>
      <c r="AU61" s="62"/>
      <c r="AV61" s="62"/>
      <c r="AW61" s="62"/>
      <c r="AX61" s="62"/>
      <c r="CE61" s="300"/>
    </row>
    <row r="62" spans="1:83" s="218" customFormat="1" ht="10.5" x14ac:dyDescent="0.25">
      <c r="A62" s="704" t="s">
        <v>213</v>
      </c>
      <c r="B62" s="705" t="s">
        <v>818</v>
      </c>
      <c r="C62" s="706"/>
      <c r="D62" s="707"/>
      <c r="E62" s="708"/>
      <c r="F62" s="707"/>
      <c r="G62" s="708"/>
      <c r="H62" s="707"/>
      <c r="I62" s="708"/>
      <c r="J62" s="707"/>
      <c r="K62" s="708"/>
      <c r="L62" s="707">
        <f t="shared" si="6"/>
        <v>0</v>
      </c>
      <c r="M62" s="707">
        <f t="shared" si="0"/>
        <v>0</v>
      </c>
      <c r="N62" s="755">
        <f t="shared" si="2"/>
        <v>0</v>
      </c>
      <c r="O62" s="707"/>
      <c r="P62" s="719">
        <v>3110</v>
      </c>
      <c r="Q62" s="710"/>
      <c r="R62" s="720"/>
      <c r="S62" s="718">
        <v>3100</v>
      </c>
      <c r="T62" s="712">
        <f t="shared" si="5"/>
        <v>3110</v>
      </c>
      <c r="U62" s="707">
        <f t="shared" si="10"/>
        <v>0</v>
      </c>
      <c r="V62" s="713"/>
      <c r="W62" s="709"/>
      <c r="X62" s="707"/>
      <c r="Y62" s="707"/>
      <c r="Z62" s="707"/>
      <c r="AA62" s="752"/>
      <c r="AB62" s="713"/>
      <c r="AC62" s="709">
        <f t="shared" si="9"/>
        <v>3100</v>
      </c>
      <c r="AD62" s="748" t="s">
        <v>473</v>
      </c>
      <c r="AE62" s="714" t="s">
        <v>681</v>
      </c>
      <c r="AF62" s="715"/>
      <c r="AG62" s="272" t="s">
        <v>673</v>
      </c>
      <c r="AH62" s="273" t="s">
        <v>630</v>
      </c>
      <c r="AI62" s="274" t="s">
        <v>678</v>
      </c>
      <c r="AJ62" s="274">
        <v>768</v>
      </c>
      <c r="AK62" s="291" t="s">
        <v>550</v>
      </c>
      <c r="AL62" s="282"/>
      <c r="AM62" s="59">
        <v>704</v>
      </c>
      <c r="AN62" s="250">
        <v>36899</v>
      </c>
      <c r="AO62" s="216" t="s">
        <v>682</v>
      </c>
      <c r="AP62" s="62"/>
      <c r="AQ62" s="62"/>
      <c r="AR62" s="62"/>
      <c r="AS62" s="62"/>
      <c r="AT62" s="62"/>
      <c r="AU62" s="62"/>
      <c r="AV62" s="62"/>
      <c r="AW62" s="62"/>
      <c r="AX62" s="62"/>
      <c r="CE62" s="300"/>
    </row>
    <row r="63" spans="1:83" s="218" customFormat="1" ht="10.5" x14ac:dyDescent="0.25">
      <c r="A63" s="704" t="s">
        <v>214</v>
      </c>
      <c r="B63" s="705" t="s">
        <v>819</v>
      </c>
      <c r="C63" s="706"/>
      <c r="D63" s="707"/>
      <c r="E63" s="708"/>
      <c r="F63" s="707"/>
      <c r="G63" s="708"/>
      <c r="H63" s="707"/>
      <c r="I63" s="708"/>
      <c r="J63" s="707"/>
      <c r="K63" s="708"/>
      <c r="L63" s="707">
        <f t="shared" si="6"/>
        <v>0</v>
      </c>
      <c r="M63" s="707">
        <f t="shared" si="0"/>
        <v>0</v>
      </c>
      <c r="N63" s="755">
        <f t="shared" si="2"/>
        <v>0</v>
      </c>
      <c r="O63" s="707"/>
      <c r="P63" s="709"/>
      <c r="Q63" s="717"/>
      <c r="R63" s="720"/>
      <c r="S63" s="720"/>
      <c r="T63" s="712">
        <f t="shared" si="5"/>
        <v>0</v>
      </c>
      <c r="U63" s="707">
        <f t="shared" si="10"/>
        <v>0</v>
      </c>
      <c r="V63" s="713"/>
      <c r="W63" s="709">
        <v>900</v>
      </c>
      <c r="X63" s="722"/>
      <c r="Y63" s="722"/>
      <c r="Z63" s="722">
        <v>900</v>
      </c>
      <c r="AA63" s="752" t="s">
        <v>476</v>
      </c>
      <c r="AB63" s="713"/>
      <c r="AC63" s="709">
        <f t="shared" si="9"/>
        <v>900</v>
      </c>
      <c r="AD63" s="748" t="s">
        <v>473</v>
      </c>
      <c r="AE63" s="714" t="s">
        <v>586</v>
      </c>
      <c r="AF63" s="715"/>
      <c r="AG63" s="275" t="s">
        <v>671</v>
      </c>
      <c r="AH63" s="276" t="s">
        <v>672</v>
      </c>
      <c r="AI63" s="274" t="s">
        <v>678</v>
      </c>
      <c r="AJ63" s="274">
        <v>1440</v>
      </c>
      <c r="AK63" s="291" t="s">
        <v>587</v>
      </c>
      <c r="AL63" s="282"/>
      <c r="AM63" s="59">
        <v>13272</v>
      </c>
      <c r="AN63" s="250">
        <v>37159</v>
      </c>
      <c r="AO63" s="216" t="s">
        <v>588</v>
      </c>
      <c r="AP63" s="62"/>
      <c r="AQ63" s="62"/>
      <c r="AR63" s="62"/>
      <c r="AS63" s="62"/>
      <c r="AT63" s="62"/>
      <c r="AU63" s="62"/>
      <c r="AV63" s="62"/>
      <c r="AW63" s="62"/>
      <c r="AX63" s="62"/>
      <c r="CE63" s="300"/>
    </row>
    <row r="64" spans="1:83" s="218" customFormat="1" ht="10" x14ac:dyDescent="0.25">
      <c r="A64" s="704" t="s">
        <v>215</v>
      </c>
      <c r="B64" s="705" t="s">
        <v>820</v>
      </c>
      <c r="C64" s="706"/>
      <c r="D64" s="707"/>
      <c r="E64" s="708"/>
      <c r="F64" s="707"/>
      <c r="G64" s="708"/>
      <c r="H64" s="707"/>
      <c r="I64" s="708"/>
      <c r="J64" s="707"/>
      <c r="K64" s="708"/>
      <c r="L64" s="707">
        <f t="shared" si="6"/>
        <v>0</v>
      </c>
      <c r="M64" s="707">
        <f t="shared" si="0"/>
        <v>0</v>
      </c>
      <c r="N64" s="755">
        <f t="shared" si="2"/>
        <v>0</v>
      </c>
      <c r="O64" s="707"/>
      <c r="P64" s="709"/>
      <c r="Q64" s="710"/>
      <c r="R64" s="720"/>
      <c r="S64" s="720"/>
      <c r="T64" s="712">
        <f t="shared" si="5"/>
        <v>0</v>
      </c>
      <c r="U64" s="707">
        <f t="shared" si="10"/>
        <v>0</v>
      </c>
      <c r="V64" s="713"/>
      <c r="W64" s="709"/>
      <c r="X64" s="722">
        <v>38000</v>
      </c>
      <c r="Y64" s="722">
        <v>3800</v>
      </c>
      <c r="Z64" s="722">
        <v>3800</v>
      </c>
      <c r="AA64" s="752" t="s">
        <v>476</v>
      </c>
      <c r="AB64" s="713"/>
      <c r="AC64" s="709">
        <f t="shared" si="9"/>
        <v>3800</v>
      </c>
      <c r="AD64" s="748" t="s">
        <v>479</v>
      </c>
      <c r="AE64" s="714" t="s">
        <v>683</v>
      </c>
      <c r="AF64" s="715"/>
      <c r="AG64" s="275" t="s">
        <v>547</v>
      </c>
      <c r="AH64" s="276" t="s">
        <v>548</v>
      </c>
      <c r="AI64" s="274" t="s">
        <v>549</v>
      </c>
      <c r="AJ64" s="274">
        <v>24</v>
      </c>
      <c r="AK64" s="291" t="s">
        <v>561</v>
      </c>
      <c r="AL64" s="282"/>
      <c r="AM64" s="59">
        <v>847</v>
      </c>
      <c r="AN64" s="250">
        <v>36459</v>
      </c>
      <c r="AO64" s="216" t="s">
        <v>684</v>
      </c>
      <c r="AP64" s="62"/>
      <c r="AQ64" s="62"/>
      <c r="AR64" s="62"/>
      <c r="AS64" s="62"/>
      <c r="AT64" s="62"/>
      <c r="AU64" s="62"/>
      <c r="AV64" s="62"/>
      <c r="AW64" s="62"/>
      <c r="AX64" s="62"/>
      <c r="CE64" s="218" t="s">
        <v>685</v>
      </c>
    </row>
    <row r="65" spans="1:83" s="218" customFormat="1" ht="10" x14ac:dyDescent="0.25">
      <c r="A65" s="704" t="s">
        <v>343</v>
      </c>
      <c r="B65" s="705" t="s">
        <v>821</v>
      </c>
      <c r="C65" s="706"/>
      <c r="D65" s="707"/>
      <c r="E65" s="708"/>
      <c r="F65" s="707"/>
      <c r="G65" s="708"/>
      <c r="H65" s="707"/>
      <c r="I65" s="708"/>
      <c r="J65" s="707"/>
      <c r="K65" s="708"/>
      <c r="L65" s="707">
        <f t="shared" si="6"/>
        <v>0</v>
      </c>
      <c r="M65" s="707">
        <f t="shared" si="0"/>
        <v>0</v>
      </c>
      <c r="N65" s="755">
        <f t="shared" si="2"/>
        <v>0</v>
      </c>
      <c r="O65" s="707"/>
      <c r="P65" s="709"/>
      <c r="Q65" s="717">
        <v>9900000</v>
      </c>
      <c r="R65" s="718">
        <v>990000</v>
      </c>
      <c r="S65" s="718">
        <v>990000</v>
      </c>
      <c r="T65" s="712">
        <f t="shared" si="5"/>
        <v>990000</v>
      </c>
      <c r="U65" s="707" t="str">
        <f t="shared" si="10"/>
        <v>(c)</v>
      </c>
      <c r="V65" s="713"/>
      <c r="W65" s="709"/>
      <c r="X65" s="707"/>
      <c r="Y65" s="707"/>
      <c r="Z65" s="707"/>
      <c r="AA65" s="752"/>
      <c r="AB65" s="713"/>
      <c r="AC65" s="709">
        <f t="shared" si="9"/>
        <v>990000</v>
      </c>
      <c r="AD65" s="748" t="s">
        <v>474</v>
      </c>
      <c r="AE65" s="714" t="s">
        <v>688</v>
      </c>
      <c r="AF65" s="715"/>
      <c r="AG65" s="272" t="s">
        <v>673</v>
      </c>
      <c r="AH65" s="273" t="s">
        <v>630</v>
      </c>
      <c r="AI65" s="274" t="s">
        <v>549</v>
      </c>
      <c r="AJ65" s="274">
        <v>96</v>
      </c>
      <c r="AK65" s="291" t="s">
        <v>689</v>
      </c>
      <c r="AL65" s="282"/>
      <c r="AM65" s="59">
        <v>3217</v>
      </c>
      <c r="AN65" s="250">
        <v>36782</v>
      </c>
      <c r="AO65" s="216" t="s">
        <v>690</v>
      </c>
      <c r="AP65" s="62"/>
      <c r="AQ65" s="62"/>
      <c r="AR65" s="62"/>
      <c r="AS65" s="62"/>
      <c r="AT65" s="62"/>
      <c r="AU65" s="62"/>
      <c r="AV65" s="62"/>
      <c r="AW65" s="62"/>
      <c r="AX65" s="62"/>
      <c r="CE65" s="218" t="s">
        <v>687</v>
      </c>
    </row>
    <row r="66" spans="1:83" s="218" customFormat="1" ht="10" x14ac:dyDescent="0.25">
      <c r="A66" s="704" t="s">
        <v>216</v>
      </c>
      <c r="B66" s="705" t="s">
        <v>822</v>
      </c>
      <c r="C66" s="706"/>
      <c r="D66" s="707">
        <v>0.22</v>
      </c>
      <c r="E66" s="708"/>
      <c r="F66" s="707">
        <v>5.6000000000000001E-2</v>
      </c>
      <c r="G66" s="708"/>
      <c r="H66" s="707">
        <v>3.4000000000000002E-2</v>
      </c>
      <c r="I66" s="708"/>
      <c r="J66" s="707">
        <v>8.6999999999999994E-3</v>
      </c>
      <c r="K66" s="708"/>
      <c r="L66" s="707">
        <f>MIN(D66,F66,H66,J66)</f>
        <v>8.6999999999999994E-3</v>
      </c>
      <c r="M66" s="707">
        <f>IF(OR(L66=J66,L66=F66),L66,L66/10)</f>
        <v>8.6999999999999994E-3</v>
      </c>
      <c r="N66" s="755" t="str">
        <f>IF(M66=0,0,IF(M66=J66,"CCC(SW)",IF(M66=F66,"CCC(FW)",IF(M66=D66/10,"CMC(FW)/10","CMC(SW)/10"))))</f>
        <v>CCC(SW)</v>
      </c>
      <c r="O66" s="707"/>
      <c r="P66" s="709"/>
      <c r="Q66" s="710"/>
      <c r="R66" s="720"/>
      <c r="S66" s="720"/>
      <c r="T66" s="712">
        <f t="shared" si="5"/>
        <v>0</v>
      </c>
      <c r="U66" s="707">
        <f t="shared" si="10"/>
        <v>0</v>
      </c>
      <c r="V66" s="713"/>
      <c r="W66" s="709"/>
      <c r="X66" s="707"/>
      <c r="Y66" s="707"/>
      <c r="Z66" s="707"/>
      <c r="AA66" s="752"/>
      <c r="AB66" s="713"/>
      <c r="AC66" s="709">
        <f t="shared" si="9"/>
        <v>8.6999999999999994E-3</v>
      </c>
      <c r="AD66" s="748" t="str">
        <f>IF(AC66=0,"No Data",IF(AC66=M66,N66,IF(AC66=Q66/10,"AQUIRE(ACUTE)/10",IF(AC66=P66,"AQUIRE(CHRONIC)",IF(AC66=W66,"Lowest Chronic","Tier II Chronic")))))</f>
        <v>CCC(SW)</v>
      </c>
      <c r="AE66" s="714" t="s">
        <v>118</v>
      </c>
      <c r="AF66" s="715"/>
      <c r="AG66" s="272" t="s">
        <v>541</v>
      </c>
      <c r="AH66" s="273" t="s">
        <v>541</v>
      </c>
      <c r="AI66" s="274" t="s">
        <v>541</v>
      </c>
      <c r="AJ66" s="274" t="s">
        <v>541</v>
      </c>
      <c r="AK66" s="291" t="s">
        <v>541</v>
      </c>
      <c r="AL66" s="282"/>
      <c r="AM66" s="59" t="s">
        <v>541</v>
      </c>
      <c r="AN66" s="59" t="s">
        <v>542</v>
      </c>
      <c r="AO66" s="62" t="s">
        <v>543</v>
      </c>
      <c r="AP66" s="62"/>
      <c r="AQ66" s="62"/>
      <c r="AR66" s="62"/>
      <c r="AS66" s="62"/>
      <c r="AT66" s="62"/>
      <c r="AU66" s="62"/>
      <c r="AV66" s="62"/>
      <c r="AW66" s="62"/>
      <c r="AX66" s="62"/>
      <c r="CE66" s="218" t="s">
        <v>691</v>
      </c>
    </row>
    <row r="67" spans="1:83" s="218" customFormat="1" ht="10" x14ac:dyDescent="0.25">
      <c r="A67" s="704" t="s">
        <v>217</v>
      </c>
      <c r="B67" s="705" t="s">
        <v>823</v>
      </c>
      <c r="C67" s="706"/>
      <c r="D67" s="707">
        <v>8.5999999999999993E-2</v>
      </c>
      <c r="E67" s="708"/>
      <c r="F67" s="707">
        <v>3.5999999999999997E-2</v>
      </c>
      <c r="G67" s="708"/>
      <c r="H67" s="707">
        <v>3.6999999999999998E-2</v>
      </c>
      <c r="I67" s="708"/>
      <c r="J67" s="707">
        <v>2.3E-3</v>
      </c>
      <c r="K67" s="708"/>
      <c r="L67" s="707">
        <f>MIN(D67,F67,H67,J67)</f>
        <v>2.3E-3</v>
      </c>
      <c r="M67" s="707">
        <f>IF(OR(L67=J67,L67=F67),L67,L67/10)</f>
        <v>2.3E-3</v>
      </c>
      <c r="N67" s="755" t="str">
        <f>IF(M67=0,0,IF(M67=J67,"CCC(SW)",IF(M67=F67,"CCC(FW)",IF(M67=D67/10,"CMC(FW)/10","CMC(SW)/10"))))</f>
        <v>CCC(SW)</v>
      </c>
      <c r="O67" s="707"/>
      <c r="P67" s="709"/>
      <c r="Q67" s="710"/>
      <c r="R67" s="720"/>
      <c r="S67" s="720"/>
      <c r="T67" s="712">
        <f t="shared" si="5"/>
        <v>0</v>
      </c>
      <c r="U67" s="707">
        <f t="shared" si="10"/>
        <v>0</v>
      </c>
      <c r="V67" s="713"/>
      <c r="W67" s="709"/>
      <c r="X67" s="707"/>
      <c r="Y67" s="707"/>
      <c r="Z67" s="707"/>
      <c r="AA67" s="752"/>
      <c r="AB67" s="713"/>
      <c r="AC67" s="709">
        <f t="shared" si="9"/>
        <v>2.3E-3</v>
      </c>
      <c r="AD67" s="748" t="str">
        <f>IF(AC67=0,"No Data",IF(AC67=M67,N67,IF(AC67=Q67/10,"AQUIRE(ACUTE)/10",IF(AC67=P67,"AQUIRE(CHRONIC)",IF(AC67=W67,"Lowest Chronic","Tier II Chronic")))))</f>
        <v>CCC(SW)</v>
      </c>
      <c r="AE67" s="714" t="s">
        <v>118</v>
      </c>
      <c r="AF67" s="715"/>
      <c r="AG67" s="272" t="s">
        <v>541</v>
      </c>
      <c r="AH67" s="273" t="s">
        <v>541</v>
      </c>
      <c r="AI67" s="274" t="s">
        <v>541</v>
      </c>
      <c r="AJ67" s="274" t="s">
        <v>541</v>
      </c>
      <c r="AK67" s="291" t="s">
        <v>541</v>
      </c>
      <c r="AL67" s="282"/>
      <c r="AM67" s="59" t="s">
        <v>541</v>
      </c>
      <c r="AN67" s="59" t="s">
        <v>542</v>
      </c>
      <c r="AO67" s="62" t="s">
        <v>543</v>
      </c>
      <c r="AP67" s="62"/>
      <c r="AQ67" s="62"/>
      <c r="AR67" s="62"/>
      <c r="AS67" s="62"/>
      <c r="AT67" s="62"/>
      <c r="AU67" s="62"/>
      <c r="AV67" s="62"/>
      <c r="AW67" s="62"/>
      <c r="AX67" s="62"/>
    </row>
    <row r="68" spans="1:83" s="218" customFormat="1" ht="10" x14ac:dyDescent="0.25">
      <c r="A68" s="704" t="s">
        <v>218</v>
      </c>
      <c r="B68" s="705" t="s">
        <v>824</v>
      </c>
      <c r="C68" s="706"/>
      <c r="D68" s="707"/>
      <c r="E68" s="708"/>
      <c r="F68" s="707"/>
      <c r="G68" s="708"/>
      <c r="H68" s="707"/>
      <c r="I68" s="708"/>
      <c r="J68" s="707"/>
      <c r="K68" s="708"/>
      <c r="L68" s="707">
        <f t="shared" si="6"/>
        <v>0</v>
      </c>
      <c r="M68" s="707">
        <f t="shared" si="0"/>
        <v>0</v>
      </c>
      <c r="N68" s="755">
        <f t="shared" si="2"/>
        <v>0</v>
      </c>
      <c r="O68" s="707"/>
      <c r="P68" s="709"/>
      <c r="Q68" s="717">
        <v>1810</v>
      </c>
      <c r="R68" s="720">
        <v>181</v>
      </c>
      <c r="S68" s="720">
        <v>181</v>
      </c>
      <c r="T68" s="712">
        <f t="shared" si="5"/>
        <v>181</v>
      </c>
      <c r="U68" s="707" t="str">
        <f t="shared" si="10"/>
        <v>(c)</v>
      </c>
      <c r="V68" s="713"/>
      <c r="W68" s="709"/>
      <c r="X68" s="707"/>
      <c r="Y68" s="707"/>
      <c r="Z68" s="707"/>
      <c r="AA68" s="752"/>
      <c r="AB68" s="713"/>
      <c r="AC68" s="709">
        <f t="shared" si="9"/>
        <v>181</v>
      </c>
      <c r="AD68" s="748" t="s">
        <v>479</v>
      </c>
      <c r="AE68" s="714" t="s">
        <v>506</v>
      </c>
      <c r="AF68" s="715"/>
      <c r="AG68" s="272" t="s">
        <v>547</v>
      </c>
      <c r="AH68" s="273" t="s">
        <v>548</v>
      </c>
      <c r="AI68" s="274" t="s">
        <v>601</v>
      </c>
      <c r="AJ68" s="274">
        <v>48</v>
      </c>
      <c r="AK68" s="291" t="s">
        <v>561</v>
      </c>
      <c r="AL68" s="282"/>
      <c r="AM68" s="59">
        <v>6984</v>
      </c>
      <c r="AN68" s="250">
        <v>37189</v>
      </c>
      <c r="AO68" s="62" t="s">
        <v>692</v>
      </c>
      <c r="AP68" s="62"/>
      <c r="AQ68" s="62"/>
      <c r="AR68" s="62"/>
      <c r="AS68" s="62"/>
      <c r="AT68" s="62"/>
      <c r="AU68" s="62"/>
      <c r="AV68" s="62"/>
      <c r="AW68" s="62"/>
      <c r="AX68" s="62"/>
    </row>
    <row r="69" spans="1:83" s="218" customFormat="1" ht="10" x14ac:dyDescent="0.25">
      <c r="A69" s="704" t="s">
        <v>283</v>
      </c>
      <c r="B69" s="705" t="s">
        <v>825</v>
      </c>
      <c r="C69" s="706"/>
      <c r="D69" s="707"/>
      <c r="E69" s="708"/>
      <c r="F69" s="707"/>
      <c r="G69" s="708"/>
      <c r="H69" s="707"/>
      <c r="I69" s="708"/>
      <c r="J69" s="707"/>
      <c r="K69" s="708"/>
      <c r="L69" s="707">
        <f t="shared" si="6"/>
        <v>0</v>
      </c>
      <c r="M69" s="707">
        <f t="shared" si="0"/>
        <v>0</v>
      </c>
      <c r="N69" s="755">
        <f t="shared" si="2"/>
        <v>0</v>
      </c>
      <c r="O69" s="707"/>
      <c r="P69" s="719">
        <v>9620</v>
      </c>
      <c r="Q69" s="710"/>
      <c r="R69" s="720"/>
      <c r="S69" s="718">
        <v>9600</v>
      </c>
      <c r="T69" s="712">
        <f t="shared" si="5"/>
        <v>9620</v>
      </c>
      <c r="U69" s="707">
        <f t="shared" si="10"/>
        <v>0</v>
      </c>
      <c r="V69" s="713"/>
      <c r="W69" s="709"/>
      <c r="X69" s="707"/>
      <c r="Y69" s="707"/>
      <c r="Z69" s="707"/>
      <c r="AA69" s="752"/>
      <c r="AB69" s="713"/>
      <c r="AC69" s="709">
        <f t="shared" si="9"/>
        <v>9600</v>
      </c>
      <c r="AD69" s="748" t="s">
        <v>473</v>
      </c>
      <c r="AE69" s="714" t="s">
        <v>693</v>
      </c>
      <c r="AF69" s="715"/>
      <c r="AG69" s="275" t="s">
        <v>694</v>
      </c>
      <c r="AH69" s="276" t="s">
        <v>695</v>
      </c>
      <c r="AI69" s="274" t="s">
        <v>678</v>
      </c>
      <c r="AJ69" s="274">
        <v>672</v>
      </c>
      <c r="AK69" s="291" t="s">
        <v>550</v>
      </c>
      <c r="AL69" s="282"/>
      <c r="AM69" s="59">
        <v>14908</v>
      </c>
      <c r="AN69" s="250">
        <v>36909</v>
      </c>
      <c r="AO69" s="62" t="s">
        <v>696</v>
      </c>
      <c r="AP69" s="62"/>
      <c r="AQ69" s="62"/>
      <c r="AR69" s="62"/>
      <c r="AS69" s="62"/>
      <c r="AT69" s="62"/>
      <c r="AU69" s="62"/>
      <c r="AV69" s="62"/>
      <c r="AW69" s="62"/>
      <c r="AX69" s="62"/>
    </row>
    <row r="70" spans="1:83" s="218" customFormat="1" ht="10" x14ac:dyDescent="0.25">
      <c r="A70" s="704" t="s">
        <v>219</v>
      </c>
      <c r="B70" s="705" t="s">
        <v>826</v>
      </c>
      <c r="C70" s="706"/>
      <c r="D70" s="707"/>
      <c r="E70" s="708"/>
      <c r="F70" s="707"/>
      <c r="G70" s="708"/>
      <c r="H70" s="707"/>
      <c r="I70" s="708"/>
      <c r="J70" s="707"/>
      <c r="K70" s="708"/>
      <c r="L70" s="707">
        <f t="shared" si="6"/>
        <v>0</v>
      </c>
      <c r="M70" s="707">
        <f t="shared" si="0"/>
        <v>0</v>
      </c>
      <c r="N70" s="755">
        <f t="shared" si="2"/>
        <v>0</v>
      </c>
      <c r="O70" s="707"/>
      <c r="P70" s="709"/>
      <c r="Q70" s="710"/>
      <c r="R70" s="720"/>
      <c r="S70" s="720"/>
      <c r="T70" s="712">
        <f t="shared" si="5"/>
        <v>0</v>
      </c>
      <c r="U70" s="707">
        <f t="shared" si="10"/>
        <v>0</v>
      </c>
      <c r="V70" s="713"/>
      <c r="W70" s="709"/>
      <c r="X70" s="707">
        <v>9</v>
      </c>
      <c r="Y70" s="707">
        <v>0.9</v>
      </c>
      <c r="Z70" s="707">
        <v>0.9</v>
      </c>
      <c r="AA70" s="752" t="s">
        <v>476</v>
      </c>
      <c r="AB70" s="713"/>
      <c r="AC70" s="709">
        <f t="shared" si="9"/>
        <v>0.9</v>
      </c>
      <c r="AD70" s="748" t="s">
        <v>493</v>
      </c>
      <c r="AE70" s="714" t="s">
        <v>122</v>
      </c>
      <c r="AF70" s="715"/>
      <c r="AG70" s="275" t="s">
        <v>547</v>
      </c>
      <c r="AH70" s="276" t="s">
        <v>548</v>
      </c>
      <c r="AI70" s="274" t="s">
        <v>549</v>
      </c>
      <c r="AJ70" s="274">
        <v>11</v>
      </c>
      <c r="AK70" s="291" t="s">
        <v>558</v>
      </c>
      <c r="AL70" s="282"/>
      <c r="AM70" s="59">
        <v>12675</v>
      </c>
      <c r="AN70" s="250">
        <v>36899</v>
      </c>
      <c r="AO70" s="62" t="s">
        <v>636</v>
      </c>
      <c r="AP70" s="62"/>
      <c r="AQ70" s="62"/>
      <c r="AR70" s="62"/>
      <c r="AS70" s="62"/>
      <c r="AT70" s="62"/>
      <c r="AU70" s="62"/>
      <c r="AV70" s="62"/>
      <c r="AW70" s="62"/>
      <c r="AX70" s="62"/>
    </row>
    <row r="71" spans="1:83" s="218" customFormat="1" ht="10" x14ac:dyDescent="0.25">
      <c r="A71" s="704" t="s">
        <v>220</v>
      </c>
      <c r="B71" s="705" t="s">
        <v>827</v>
      </c>
      <c r="C71" s="706"/>
      <c r="D71" s="707"/>
      <c r="E71" s="708"/>
      <c r="F71" s="707"/>
      <c r="G71" s="708"/>
      <c r="H71" s="707"/>
      <c r="I71" s="708"/>
      <c r="J71" s="707"/>
      <c r="K71" s="708"/>
      <c r="L71" s="707"/>
      <c r="M71" s="707"/>
      <c r="N71" s="755"/>
      <c r="O71" s="707"/>
      <c r="P71" s="709"/>
      <c r="Q71" s="710"/>
      <c r="R71" s="720"/>
      <c r="S71" s="720"/>
      <c r="T71" s="712">
        <f t="shared" si="5"/>
        <v>0</v>
      </c>
      <c r="U71" s="707"/>
      <c r="V71" s="713"/>
      <c r="W71" s="709"/>
      <c r="X71" s="707"/>
      <c r="Y71" s="707"/>
      <c r="Z71" s="707"/>
      <c r="AA71" s="752"/>
      <c r="AB71" s="713"/>
      <c r="AC71" s="709">
        <v>0.14000000000000001</v>
      </c>
      <c r="AD71" s="748" t="s">
        <v>589</v>
      </c>
      <c r="AE71" s="714" t="s">
        <v>697</v>
      </c>
      <c r="AF71" s="715"/>
      <c r="AG71" s="272"/>
      <c r="AH71" s="273"/>
      <c r="AI71" s="274"/>
      <c r="AJ71" s="274"/>
      <c r="AK71" s="291"/>
      <c r="AL71" s="282"/>
      <c r="AM71" s="59"/>
      <c r="AN71" s="59"/>
      <c r="AO71" s="62" t="s">
        <v>545</v>
      </c>
      <c r="AP71" s="62"/>
      <c r="AQ71" s="62"/>
      <c r="AR71" s="62"/>
      <c r="AS71" s="62"/>
      <c r="AT71" s="62"/>
      <c r="AU71" s="62"/>
      <c r="AV71" s="62"/>
      <c r="AW71" s="62"/>
      <c r="AX71" s="62"/>
    </row>
    <row r="72" spans="1:83" s="218" customFormat="1" ht="10" x14ac:dyDescent="0.25">
      <c r="A72" s="704" t="s">
        <v>221</v>
      </c>
      <c r="B72" s="705" t="s">
        <v>828</v>
      </c>
      <c r="C72" s="706"/>
      <c r="D72" s="707">
        <v>0.52</v>
      </c>
      <c r="E72" s="708"/>
      <c r="F72" s="707">
        <v>3.8E-3</v>
      </c>
      <c r="G72" s="708"/>
      <c r="H72" s="707">
        <v>5.2999999999999999E-2</v>
      </c>
      <c r="I72" s="708"/>
      <c r="J72" s="707">
        <v>3.5999999999999999E-3</v>
      </c>
      <c r="K72" s="708"/>
      <c r="L72" s="707">
        <f t="shared" ref="L72:L129" si="11">MIN(D72,F72,H72,J72)</f>
        <v>3.5999999999999999E-3</v>
      </c>
      <c r="M72" s="707">
        <f t="shared" ref="M72:M129" si="12">IF(OR(L72=J72,L72=F72),L72,L72/10)</f>
        <v>3.5999999999999999E-3</v>
      </c>
      <c r="N72" s="755" t="str">
        <f t="shared" ref="N72:N128" si="13">IF(M72=0,0,IF(M72=J72,"CCC(SW)",IF(M72=F72,"CCC(FW)",IF(M72=D72/10,"CMC(FW)/10","CMC(SW)/10"))))</f>
        <v>CCC(SW)</v>
      </c>
      <c r="O72" s="707"/>
      <c r="P72" s="709"/>
      <c r="Q72" s="710"/>
      <c r="R72" s="711"/>
      <c r="S72" s="711"/>
      <c r="T72" s="712">
        <f t="shared" si="5"/>
        <v>0</v>
      </c>
      <c r="U72" s="707" t="s">
        <v>119</v>
      </c>
      <c r="V72" s="713"/>
      <c r="W72" s="709"/>
      <c r="X72" s="707"/>
      <c r="Y72" s="707"/>
      <c r="Z72" s="707"/>
      <c r="AA72" s="752"/>
      <c r="AB72" s="713"/>
      <c r="AC72" s="709">
        <f t="shared" ref="AC72:AC78" si="14">IF(M72&lt;&gt;0,M72,IF(S72&lt;&gt;0,S72,IF(Z72&lt;&gt;0,Z72,)))</f>
        <v>3.5999999999999999E-3</v>
      </c>
      <c r="AD72" s="748" t="s">
        <v>109</v>
      </c>
      <c r="AE72" s="714" t="s">
        <v>118</v>
      </c>
      <c r="AF72" s="715"/>
      <c r="AG72" s="272" t="s">
        <v>541</v>
      </c>
      <c r="AH72" s="273" t="s">
        <v>541</v>
      </c>
      <c r="AI72" s="274" t="s">
        <v>541</v>
      </c>
      <c r="AJ72" s="274" t="s">
        <v>541</v>
      </c>
      <c r="AK72" s="291" t="s">
        <v>541</v>
      </c>
      <c r="AL72" s="282"/>
      <c r="AM72" s="59" t="s">
        <v>541</v>
      </c>
      <c r="AN72" s="59" t="s">
        <v>542</v>
      </c>
      <c r="AO72" s="62" t="s">
        <v>543</v>
      </c>
      <c r="AP72" s="62"/>
      <c r="AQ72" s="62"/>
      <c r="AR72" s="62"/>
      <c r="AS72" s="62"/>
      <c r="AT72" s="62"/>
      <c r="AU72" s="62"/>
      <c r="AV72" s="62"/>
      <c r="AW72" s="62"/>
      <c r="AX72" s="62"/>
    </row>
    <row r="73" spans="1:83" s="218" customFormat="1" ht="10" x14ac:dyDescent="0.25">
      <c r="A73" s="704" t="s">
        <v>222</v>
      </c>
      <c r="B73" s="705" t="s">
        <v>829</v>
      </c>
      <c r="C73" s="706"/>
      <c r="D73" s="707">
        <v>0.52</v>
      </c>
      <c r="E73" s="708"/>
      <c r="F73" s="707">
        <v>3.8E-3</v>
      </c>
      <c r="G73" s="708"/>
      <c r="H73" s="707">
        <v>5.2999999999999999E-2</v>
      </c>
      <c r="I73" s="708"/>
      <c r="J73" s="707">
        <v>3.5999999999999999E-3</v>
      </c>
      <c r="K73" s="708"/>
      <c r="L73" s="707">
        <f t="shared" si="11"/>
        <v>3.5999999999999999E-3</v>
      </c>
      <c r="M73" s="707">
        <f t="shared" si="12"/>
        <v>3.5999999999999999E-3</v>
      </c>
      <c r="N73" s="755" t="str">
        <f t="shared" si="13"/>
        <v>CCC(SW)</v>
      </c>
      <c r="O73" s="707"/>
      <c r="P73" s="709"/>
      <c r="Q73" s="710"/>
      <c r="R73" s="720"/>
      <c r="S73" s="720"/>
      <c r="T73" s="712">
        <f t="shared" si="5"/>
        <v>0</v>
      </c>
      <c r="U73" s="707">
        <f t="shared" ref="U73:U82" si="15">IF(T73=0,0,IF(T73=Q73/10,"(c)",0))</f>
        <v>0</v>
      </c>
      <c r="V73" s="713"/>
      <c r="W73" s="709"/>
      <c r="X73" s="707"/>
      <c r="Y73" s="707"/>
      <c r="Z73" s="707"/>
      <c r="AA73" s="752"/>
      <c r="AB73" s="713"/>
      <c r="AC73" s="709">
        <f t="shared" si="14"/>
        <v>3.5999999999999999E-3</v>
      </c>
      <c r="AD73" s="748" t="str">
        <f>IF(AC73=0,"No Data",IF(AC73=M73,N73,IF(AC73=Q73/10,"AQUIRE(ACUTE)/10",IF(AC73=P73,"AQUIRE(CHRONIC)",IF(AC73=W73,"Lowest Chronic","Tier II Chronic")))))</f>
        <v>CCC(SW)</v>
      </c>
      <c r="AE73" s="714" t="s">
        <v>118</v>
      </c>
      <c r="AF73" s="715"/>
      <c r="AG73" s="272" t="s">
        <v>541</v>
      </c>
      <c r="AH73" s="273" t="s">
        <v>541</v>
      </c>
      <c r="AI73" s="274" t="s">
        <v>541</v>
      </c>
      <c r="AJ73" s="274" t="s">
        <v>541</v>
      </c>
      <c r="AK73" s="291" t="s">
        <v>541</v>
      </c>
      <c r="AL73" s="282"/>
      <c r="AM73" s="59" t="s">
        <v>541</v>
      </c>
      <c r="AN73" s="59" t="s">
        <v>542</v>
      </c>
      <c r="AO73" s="62" t="s">
        <v>543</v>
      </c>
      <c r="AP73" s="62"/>
      <c r="AQ73" s="62"/>
      <c r="AR73" s="62"/>
      <c r="AS73" s="62"/>
      <c r="AT73" s="62"/>
      <c r="AU73" s="62"/>
      <c r="AV73" s="62"/>
      <c r="AW73" s="62"/>
      <c r="AX73" s="62"/>
    </row>
    <row r="74" spans="1:83" s="218" customFormat="1" ht="10" x14ac:dyDescent="0.25">
      <c r="A74" s="704" t="s">
        <v>223</v>
      </c>
      <c r="B74" s="705" t="s">
        <v>830</v>
      </c>
      <c r="C74" s="706"/>
      <c r="D74" s="707"/>
      <c r="E74" s="708"/>
      <c r="F74" s="707"/>
      <c r="G74" s="708"/>
      <c r="H74" s="707"/>
      <c r="I74" s="708"/>
      <c r="J74" s="707"/>
      <c r="K74" s="708"/>
      <c r="L74" s="707">
        <f t="shared" si="11"/>
        <v>0</v>
      </c>
      <c r="M74" s="707"/>
      <c r="N74" s="755">
        <f t="shared" si="13"/>
        <v>0</v>
      </c>
      <c r="O74" s="707"/>
      <c r="P74" s="709">
        <v>23</v>
      </c>
      <c r="Q74" s="710"/>
      <c r="R74" s="720"/>
      <c r="S74" s="720">
        <v>23</v>
      </c>
      <c r="T74" s="712">
        <f t="shared" ref="T74:T129" si="16">IF(MIN(Q74,P74)=Q74,Q74/10,P74)</f>
        <v>23</v>
      </c>
      <c r="U74" s="707">
        <f t="shared" si="15"/>
        <v>0</v>
      </c>
      <c r="V74" s="713"/>
      <c r="W74" s="709"/>
      <c r="X74" s="707"/>
      <c r="Y74" s="707"/>
      <c r="Z74" s="707"/>
      <c r="AA74" s="752"/>
      <c r="AB74" s="713"/>
      <c r="AC74" s="709">
        <f t="shared" si="14"/>
        <v>23</v>
      </c>
      <c r="AD74" s="748" t="s">
        <v>473</v>
      </c>
      <c r="AE74" s="714" t="s">
        <v>495</v>
      </c>
      <c r="AF74" s="715"/>
      <c r="AG74" s="272" t="s">
        <v>698</v>
      </c>
      <c r="AH74" s="273" t="s">
        <v>548</v>
      </c>
      <c r="AI74" s="274" t="s">
        <v>601</v>
      </c>
      <c r="AJ74" s="274">
        <v>336</v>
      </c>
      <c r="AK74" s="291" t="s">
        <v>689</v>
      </c>
      <c r="AL74" s="282"/>
      <c r="AM74" s="59">
        <v>15526</v>
      </c>
      <c r="AN74" s="250">
        <v>36434</v>
      </c>
      <c r="AO74" s="62" t="s">
        <v>642</v>
      </c>
      <c r="AP74" s="62"/>
      <c r="AQ74" s="62"/>
      <c r="AR74" s="62"/>
      <c r="AS74" s="62"/>
      <c r="AT74" s="62"/>
      <c r="AU74" s="62"/>
      <c r="AV74" s="62"/>
      <c r="AW74" s="62"/>
      <c r="AX74" s="62"/>
    </row>
    <row r="75" spans="1:83" s="218" customFormat="1" ht="10" x14ac:dyDescent="0.25">
      <c r="A75" s="704" t="s">
        <v>224</v>
      </c>
      <c r="B75" s="705" t="s">
        <v>831</v>
      </c>
      <c r="C75" s="706"/>
      <c r="D75" s="707"/>
      <c r="E75" s="708"/>
      <c r="F75" s="707"/>
      <c r="G75" s="708"/>
      <c r="H75" s="707"/>
      <c r="I75" s="708"/>
      <c r="J75" s="707"/>
      <c r="K75" s="708"/>
      <c r="L75" s="707">
        <f t="shared" si="11"/>
        <v>0</v>
      </c>
      <c r="M75" s="707">
        <f t="shared" si="12"/>
        <v>0</v>
      </c>
      <c r="N75" s="755">
        <f t="shared" si="13"/>
        <v>0</v>
      </c>
      <c r="O75" s="707"/>
      <c r="P75" s="709">
        <v>13</v>
      </c>
      <c r="Q75" s="710"/>
      <c r="R75" s="720"/>
      <c r="S75" s="720">
        <v>13</v>
      </c>
      <c r="T75" s="712">
        <f t="shared" si="16"/>
        <v>13</v>
      </c>
      <c r="U75" s="707">
        <f t="shared" si="15"/>
        <v>0</v>
      </c>
      <c r="V75" s="721"/>
      <c r="W75" s="709"/>
      <c r="X75" s="707"/>
      <c r="Y75" s="707"/>
      <c r="Z75" s="707"/>
      <c r="AA75" s="752"/>
      <c r="AB75" s="713"/>
      <c r="AC75" s="709">
        <f t="shared" si="14"/>
        <v>13</v>
      </c>
      <c r="AD75" s="748" t="s">
        <v>473</v>
      </c>
      <c r="AE75" s="714" t="s">
        <v>504</v>
      </c>
      <c r="AF75" s="715"/>
      <c r="AG75" s="272" t="s">
        <v>673</v>
      </c>
      <c r="AH75" s="273" t="s">
        <v>630</v>
      </c>
      <c r="AI75" s="274" t="s">
        <v>678</v>
      </c>
      <c r="AJ75" s="274">
        <v>768</v>
      </c>
      <c r="AK75" s="291" t="s">
        <v>550</v>
      </c>
      <c r="AL75" s="282"/>
      <c r="AM75" s="59">
        <v>15301</v>
      </c>
      <c r="AN75" s="250">
        <v>36899</v>
      </c>
      <c r="AO75" s="62" t="s">
        <v>674</v>
      </c>
      <c r="AP75" s="62"/>
      <c r="AQ75" s="62"/>
      <c r="AR75" s="62"/>
      <c r="AS75" s="62"/>
      <c r="AT75" s="62"/>
      <c r="AU75" s="62"/>
      <c r="AV75" s="62"/>
      <c r="AW75" s="62"/>
      <c r="AX75" s="62"/>
    </row>
    <row r="76" spans="1:83" s="218" customFormat="1" ht="20" x14ac:dyDescent="0.25">
      <c r="A76" s="704" t="s">
        <v>225</v>
      </c>
      <c r="B76" s="705" t="s">
        <v>832</v>
      </c>
      <c r="C76" s="706"/>
      <c r="D76" s="707">
        <v>0.95</v>
      </c>
      <c r="E76" s="708"/>
      <c r="F76" s="707"/>
      <c r="G76" s="708"/>
      <c r="H76" s="707">
        <v>0.16</v>
      </c>
      <c r="I76" s="708"/>
      <c r="J76" s="707"/>
      <c r="K76" s="708"/>
      <c r="L76" s="707">
        <f t="shared" si="11"/>
        <v>0.16</v>
      </c>
      <c r="M76" s="707">
        <f t="shared" si="12"/>
        <v>1.6E-2</v>
      </c>
      <c r="N76" s="755" t="str">
        <f t="shared" si="13"/>
        <v>CMC(SW)/10</v>
      </c>
      <c r="O76" s="707"/>
      <c r="P76" s="709"/>
      <c r="Q76" s="710"/>
      <c r="R76" s="720"/>
      <c r="S76" s="720"/>
      <c r="T76" s="712">
        <f t="shared" si="16"/>
        <v>0</v>
      </c>
      <c r="U76" s="707">
        <f t="shared" si="15"/>
        <v>0</v>
      </c>
      <c r="V76" s="713"/>
      <c r="W76" s="709"/>
      <c r="X76" s="707"/>
      <c r="Y76" s="707"/>
      <c r="Z76" s="707"/>
      <c r="AA76" s="752"/>
      <c r="AB76" s="713"/>
      <c r="AC76" s="709">
        <f t="shared" si="14"/>
        <v>1.6E-2</v>
      </c>
      <c r="AD76" s="748" t="s">
        <v>507</v>
      </c>
      <c r="AE76" s="714" t="s">
        <v>508</v>
      </c>
      <c r="AF76" s="715"/>
      <c r="AG76" s="272" t="s">
        <v>541</v>
      </c>
      <c r="AH76" s="273" t="s">
        <v>541</v>
      </c>
      <c r="AI76" s="274" t="s">
        <v>541</v>
      </c>
      <c r="AJ76" s="274" t="s">
        <v>541</v>
      </c>
      <c r="AK76" s="291" t="s">
        <v>541</v>
      </c>
      <c r="AL76" s="282"/>
      <c r="AM76" s="59" t="s">
        <v>541</v>
      </c>
      <c r="AN76" s="250" t="s">
        <v>541</v>
      </c>
      <c r="AO76" s="62" t="s">
        <v>543</v>
      </c>
      <c r="AP76" s="62"/>
      <c r="AQ76" s="62"/>
      <c r="AR76" s="62"/>
      <c r="AS76" s="62"/>
      <c r="AT76" s="62"/>
      <c r="AU76" s="62"/>
      <c r="AV76" s="62"/>
      <c r="AW76" s="62"/>
      <c r="AX76" s="62"/>
    </row>
    <row r="77" spans="1:83" s="218" customFormat="1" ht="10" x14ac:dyDescent="0.25">
      <c r="A77" s="704" t="s">
        <v>226</v>
      </c>
      <c r="B77" s="705" t="s">
        <v>833</v>
      </c>
      <c r="C77" s="706"/>
      <c r="D77" s="707"/>
      <c r="E77" s="708"/>
      <c r="F77" s="707"/>
      <c r="G77" s="708"/>
      <c r="H77" s="707"/>
      <c r="I77" s="708"/>
      <c r="J77" s="707"/>
      <c r="K77" s="708"/>
      <c r="L77" s="707">
        <f t="shared" si="11"/>
        <v>0</v>
      </c>
      <c r="M77" s="707">
        <f t="shared" si="12"/>
        <v>0</v>
      </c>
      <c r="N77" s="755">
        <f t="shared" si="13"/>
        <v>0</v>
      </c>
      <c r="O77" s="707"/>
      <c r="P77" s="709">
        <v>207</v>
      </c>
      <c r="Q77" s="710"/>
      <c r="R77" s="720"/>
      <c r="S77" s="720">
        <v>210</v>
      </c>
      <c r="T77" s="712">
        <f t="shared" si="16"/>
        <v>207</v>
      </c>
      <c r="U77" s="707">
        <f t="shared" si="15"/>
        <v>0</v>
      </c>
      <c r="V77" s="721"/>
      <c r="W77" s="709"/>
      <c r="X77" s="707"/>
      <c r="Y77" s="707"/>
      <c r="Z77" s="707"/>
      <c r="AA77" s="752"/>
      <c r="AB77" s="713"/>
      <c r="AC77" s="709">
        <f t="shared" si="14"/>
        <v>210</v>
      </c>
      <c r="AD77" s="748" t="s">
        <v>473</v>
      </c>
      <c r="AE77" s="714" t="s">
        <v>496</v>
      </c>
      <c r="AF77" s="715"/>
      <c r="AG77" s="272" t="s">
        <v>673</v>
      </c>
      <c r="AH77" s="273" t="s">
        <v>630</v>
      </c>
      <c r="AI77" s="274" t="s">
        <v>678</v>
      </c>
      <c r="AJ77" s="274">
        <v>768</v>
      </c>
      <c r="AK77" s="291" t="s">
        <v>550</v>
      </c>
      <c r="AL77" s="282"/>
      <c r="AM77" s="59">
        <v>4433</v>
      </c>
      <c r="AN77" s="250">
        <v>36899</v>
      </c>
      <c r="AO77" s="62" t="s">
        <v>644</v>
      </c>
      <c r="AP77" s="62"/>
      <c r="AQ77" s="62"/>
      <c r="AR77" s="62"/>
      <c r="AS77" s="62"/>
      <c r="AT77" s="62"/>
      <c r="AU77" s="62"/>
      <c r="AV77" s="62"/>
      <c r="AW77" s="62"/>
      <c r="AX77" s="62"/>
    </row>
    <row r="78" spans="1:83" s="218" customFormat="1" ht="10" x14ac:dyDescent="0.25">
      <c r="A78" s="704" t="s">
        <v>432</v>
      </c>
      <c r="B78" s="705" t="s">
        <v>834</v>
      </c>
      <c r="C78" s="706"/>
      <c r="D78" s="707"/>
      <c r="E78" s="708"/>
      <c r="F78" s="707"/>
      <c r="G78" s="708"/>
      <c r="H78" s="707"/>
      <c r="I78" s="708"/>
      <c r="J78" s="707"/>
      <c r="K78" s="708"/>
      <c r="L78" s="707">
        <f t="shared" si="11"/>
        <v>0</v>
      </c>
      <c r="M78" s="707">
        <f t="shared" si="12"/>
        <v>0</v>
      </c>
      <c r="N78" s="755">
        <f t="shared" si="13"/>
        <v>0</v>
      </c>
      <c r="O78" s="707"/>
      <c r="P78" s="719">
        <v>3900</v>
      </c>
      <c r="Q78" s="717"/>
      <c r="R78" s="720"/>
      <c r="S78" s="718">
        <v>3900</v>
      </c>
      <c r="T78" s="712">
        <f t="shared" si="16"/>
        <v>3900</v>
      </c>
      <c r="U78" s="707">
        <f t="shared" si="15"/>
        <v>0</v>
      </c>
      <c r="V78" s="721"/>
      <c r="W78" s="709"/>
      <c r="X78" s="707"/>
      <c r="Y78" s="707"/>
      <c r="Z78" s="707"/>
      <c r="AA78" s="752"/>
      <c r="AB78" s="713"/>
      <c r="AC78" s="709">
        <f t="shared" si="14"/>
        <v>3900</v>
      </c>
      <c r="AD78" s="748" t="s">
        <v>509</v>
      </c>
      <c r="AE78" s="714" t="s">
        <v>510</v>
      </c>
      <c r="AF78" s="715"/>
      <c r="AG78" s="272" t="s">
        <v>673</v>
      </c>
      <c r="AH78" s="273" t="s">
        <v>630</v>
      </c>
      <c r="AI78" s="274" t="s">
        <v>699</v>
      </c>
      <c r="AJ78" s="274">
        <v>768</v>
      </c>
      <c r="AK78" s="291" t="s">
        <v>550</v>
      </c>
      <c r="AL78" s="282"/>
      <c r="AM78" s="59">
        <v>5966</v>
      </c>
      <c r="AN78" s="250">
        <v>36782</v>
      </c>
      <c r="AO78" s="62" t="s">
        <v>700</v>
      </c>
      <c r="AP78" s="62"/>
      <c r="AQ78" s="62"/>
      <c r="AR78" s="62"/>
      <c r="AS78" s="62"/>
      <c r="AT78" s="62"/>
      <c r="AU78" s="62"/>
      <c r="AV78" s="62"/>
      <c r="AW78" s="62"/>
      <c r="AX78" s="62"/>
    </row>
    <row r="79" spans="1:83" s="218" customFormat="1" ht="10" x14ac:dyDescent="0.25">
      <c r="A79" s="704" t="s">
        <v>227</v>
      </c>
      <c r="B79" s="705" t="s">
        <v>835</v>
      </c>
      <c r="C79" s="706"/>
      <c r="D79" s="707"/>
      <c r="E79" s="708"/>
      <c r="F79" s="707"/>
      <c r="G79" s="708"/>
      <c r="H79" s="707"/>
      <c r="I79" s="708"/>
      <c r="J79" s="707"/>
      <c r="K79" s="708"/>
      <c r="L79" s="707">
        <f t="shared" si="11"/>
        <v>0</v>
      </c>
      <c r="M79" s="707">
        <f t="shared" si="12"/>
        <v>0</v>
      </c>
      <c r="N79" s="755">
        <f t="shared" si="13"/>
        <v>0</v>
      </c>
      <c r="O79" s="707"/>
      <c r="P79" s="709"/>
      <c r="Q79" s="710"/>
      <c r="R79" s="720"/>
      <c r="S79" s="720"/>
      <c r="T79" s="712">
        <f t="shared" si="16"/>
        <v>0</v>
      </c>
      <c r="U79" s="707">
        <f t="shared" si="15"/>
        <v>0</v>
      </c>
      <c r="V79" s="713"/>
      <c r="W79" s="709"/>
      <c r="X79" s="707"/>
      <c r="Y79" s="707"/>
      <c r="Z79" s="707"/>
      <c r="AA79" s="752"/>
      <c r="AB79" s="713"/>
      <c r="AC79" s="709">
        <v>0.14000000000000001</v>
      </c>
      <c r="AD79" s="748" t="s">
        <v>589</v>
      </c>
      <c r="AE79" s="714" t="s">
        <v>697</v>
      </c>
      <c r="AF79" s="715"/>
      <c r="AG79" s="272"/>
      <c r="AH79" s="273"/>
      <c r="AI79" s="274"/>
      <c r="AJ79" s="274"/>
      <c r="AK79" s="291"/>
      <c r="AL79" s="282"/>
      <c r="AM79" s="59"/>
      <c r="AN79" s="250"/>
      <c r="AO79" s="62" t="s">
        <v>545</v>
      </c>
      <c r="AP79" s="62"/>
      <c r="AQ79" s="62"/>
      <c r="AR79" s="62"/>
      <c r="AS79" s="62"/>
      <c r="AT79" s="62"/>
      <c r="AU79" s="62"/>
      <c r="AV79" s="62"/>
      <c r="AW79" s="62"/>
      <c r="AX79" s="62"/>
      <c r="CE79" s="218" t="s">
        <v>701</v>
      </c>
    </row>
    <row r="80" spans="1:83" s="218" customFormat="1" ht="10" x14ac:dyDescent="0.25">
      <c r="A80" s="704" t="s">
        <v>228</v>
      </c>
      <c r="B80" s="705" t="s">
        <v>836</v>
      </c>
      <c r="C80" s="706"/>
      <c r="D80" s="707">
        <v>14</v>
      </c>
      <c r="E80" s="708" t="s">
        <v>511</v>
      </c>
      <c r="F80" s="707">
        <v>0.54</v>
      </c>
      <c r="G80" s="708" t="s">
        <v>511</v>
      </c>
      <c r="H80" s="707">
        <v>210</v>
      </c>
      <c r="I80" s="708"/>
      <c r="J80" s="707">
        <v>8.1</v>
      </c>
      <c r="K80" s="708"/>
      <c r="L80" s="707">
        <f t="shared" si="11"/>
        <v>0.54</v>
      </c>
      <c r="M80" s="707">
        <f t="shared" si="12"/>
        <v>0.54</v>
      </c>
      <c r="N80" s="755" t="str">
        <f t="shared" si="13"/>
        <v>CCC(FW)</v>
      </c>
      <c r="O80" s="707"/>
      <c r="P80" s="709"/>
      <c r="Q80" s="710"/>
      <c r="R80" s="720"/>
      <c r="S80" s="720"/>
      <c r="T80" s="712">
        <f t="shared" si="16"/>
        <v>0</v>
      </c>
      <c r="U80" s="707">
        <f t="shared" si="15"/>
        <v>0</v>
      </c>
      <c r="V80" s="713"/>
      <c r="W80" s="709"/>
      <c r="X80" s="707"/>
      <c r="Y80" s="707"/>
      <c r="Z80" s="707"/>
      <c r="AA80" s="752"/>
      <c r="AB80" s="713"/>
      <c r="AC80" s="709">
        <f>IF(M80&lt;&gt;0,M80,IF(S80&lt;&gt;0,S80,IF(Z80&lt;&gt;0,Z80,)))</f>
        <v>0.54</v>
      </c>
      <c r="AD80" s="748" t="str">
        <f>IF(AC80=0,"No Data",IF(AC80=M80,N80,IF(AC80=Q80/10,"AQUIRE(ACUTE)/10",IF(AC80=P80,"AQUIRE(CHRONIC)",IF(AC80=W80,"Lowest Chronic","Tier II Chronic")))))</f>
        <v>CCC(FW)</v>
      </c>
      <c r="AE80" s="714" t="s">
        <v>118</v>
      </c>
      <c r="AF80" s="715"/>
      <c r="AG80" s="272" t="s">
        <v>541</v>
      </c>
      <c r="AH80" s="273" t="s">
        <v>541</v>
      </c>
      <c r="AI80" s="274" t="s">
        <v>541</v>
      </c>
      <c r="AJ80" s="274" t="s">
        <v>541</v>
      </c>
      <c r="AK80" s="291" t="s">
        <v>541</v>
      </c>
      <c r="AL80" s="282"/>
      <c r="AM80" s="59" t="s">
        <v>541</v>
      </c>
      <c r="AN80" s="250" t="s">
        <v>541</v>
      </c>
      <c r="AO80" s="62" t="s">
        <v>703</v>
      </c>
      <c r="AP80" s="62"/>
      <c r="AQ80" s="62"/>
      <c r="AR80" s="62"/>
      <c r="AS80" s="62"/>
      <c r="AT80" s="62"/>
      <c r="AU80" s="62"/>
      <c r="AV80" s="62"/>
      <c r="AW80" s="62"/>
      <c r="AX80" s="62"/>
      <c r="CE80" s="218" t="s">
        <v>702</v>
      </c>
    </row>
    <row r="81" spans="1:83" s="218" customFormat="1" ht="10" x14ac:dyDescent="0.25">
      <c r="A81" s="704" t="s">
        <v>229</v>
      </c>
      <c r="B81" s="705" t="s">
        <v>837</v>
      </c>
      <c r="C81" s="706"/>
      <c r="D81" s="707">
        <v>1.4</v>
      </c>
      <c r="E81" s="708"/>
      <c r="F81" s="707">
        <v>0.77</v>
      </c>
      <c r="G81" s="708"/>
      <c r="H81" s="707">
        <v>1.8</v>
      </c>
      <c r="I81" s="708"/>
      <c r="J81" s="707">
        <v>0.94</v>
      </c>
      <c r="K81" s="708"/>
      <c r="L81" s="707">
        <f t="shared" si="11"/>
        <v>0.77</v>
      </c>
      <c r="M81" s="707">
        <f t="shared" si="12"/>
        <v>0.77</v>
      </c>
      <c r="N81" s="755" t="str">
        <f t="shared" si="13"/>
        <v>CCC(FW)</v>
      </c>
      <c r="O81" s="707"/>
      <c r="P81" s="709"/>
      <c r="Q81" s="710"/>
      <c r="R81" s="720"/>
      <c r="S81" s="720"/>
      <c r="T81" s="712">
        <f t="shared" si="16"/>
        <v>0</v>
      </c>
      <c r="U81" s="707">
        <f t="shared" si="15"/>
        <v>0</v>
      </c>
      <c r="V81" s="713"/>
      <c r="W81" s="709"/>
      <c r="X81" s="707"/>
      <c r="Y81" s="707"/>
      <c r="Z81" s="707"/>
      <c r="AA81" s="752"/>
      <c r="AB81" s="713"/>
      <c r="AC81" s="709">
        <f>IF(M81&lt;&gt;0,M81,IF(S81&lt;&gt;0,S81,IF(Z81&lt;&gt;0,Z81,)))</f>
        <v>0.77</v>
      </c>
      <c r="AD81" s="748" t="s">
        <v>107</v>
      </c>
      <c r="AE81" s="714" t="s">
        <v>512</v>
      </c>
      <c r="AF81" s="715"/>
      <c r="AG81" s="275" t="s">
        <v>541</v>
      </c>
      <c r="AH81" s="276" t="s">
        <v>541</v>
      </c>
      <c r="AI81" s="274" t="s">
        <v>541</v>
      </c>
      <c r="AJ81" s="274" t="s">
        <v>541</v>
      </c>
      <c r="AK81" s="291" t="s">
        <v>541</v>
      </c>
      <c r="AL81" s="282"/>
      <c r="AM81" s="59" t="s">
        <v>541</v>
      </c>
      <c r="AN81" s="250" t="s">
        <v>541</v>
      </c>
      <c r="AO81" s="62" t="s">
        <v>703</v>
      </c>
      <c r="AP81" s="62"/>
      <c r="AQ81" s="62"/>
      <c r="AR81" s="62"/>
      <c r="AS81" s="62"/>
      <c r="AT81" s="62"/>
      <c r="AU81" s="62"/>
      <c r="AV81" s="62"/>
      <c r="AW81" s="62"/>
      <c r="AX81" s="62"/>
    </row>
    <row r="82" spans="1:83" s="218" customFormat="1" ht="10" x14ac:dyDescent="0.25">
      <c r="A82" s="704" t="s">
        <v>230</v>
      </c>
      <c r="B82" s="705" t="s">
        <v>838</v>
      </c>
      <c r="C82" s="706"/>
      <c r="D82" s="707"/>
      <c r="E82" s="708"/>
      <c r="F82" s="707"/>
      <c r="G82" s="708"/>
      <c r="H82" s="707"/>
      <c r="I82" s="708"/>
      <c r="J82" s="707"/>
      <c r="K82" s="708"/>
      <c r="L82" s="707">
        <f t="shared" si="11"/>
        <v>0</v>
      </c>
      <c r="M82" s="707">
        <f t="shared" si="12"/>
        <v>0</v>
      </c>
      <c r="N82" s="755">
        <f t="shared" si="13"/>
        <v>0</v>
      </c>
      <c r="O82" s="707"/>
      <c r="P82" s="709">
        <v>0.05</v>
      </c>
      <c r="Q82" s="710"/>
      <c r="R82" s="720"/>
      <c r="S82" s="720">
        <v>0.05</v>
      </c>
      <c r="T82" s="712">
        <f t="shared" si="16"/>
        <v>0.05</v>
      </c>
      <c r="U82" s="707">
        <f t="shared" si="15"/>
        <v>0</v>
      </c>
      <c r="V82" s="713"/>
      <c r="W82" s="709"/>
      <c r="X82" s="707"/>
      <c r="Y82" s="707"/>
      <c r="Z82" s="707"/>
      <c r="AA82" s="752"/>
      <c r="AB82" s="713"/>
      <c r="AC82" s="709">
        <f>IF(M82&lt;&gt;0,M82,IF(S82&lt;&gt;0,S82,IF(Z82&lt;&gt;0,Z82,)))</f>
        <v>0.05</v>
      </c>
      <c r="AD82" s="748" t="s">
        <v>473</v>
      </c>
      <c r="AE82" s="714" t="s">
        <v>704</v>
      </c>
      <c r="AF82" s="715"/>
      <c r="AG82" s="275" t="s">
        <v>705</v>
      </c>
      <c r="AH82" s="276" t="s">
        <v>706</v>
      </c>
      <c r="AI82" s="274" t="s">
        <v>549</v>
      </c>
      <c r="AJ82" s="279">
        <v>1656</v>
      </c>
      <c r="AK82" s="291" t="s">
        <v>550</v>
      </c>
      <c r="AL82" s="282"/>
      <c r="AM82" s="59">
        <v>5672</v>
      </c>
      <c r="AN82" s="250">
        <v>36783</v>
      </c>
      <c r="AO82" s="62" t="s">
        <v>707</v>
      </c>
      <c r="AP82" s="62"/>
      <c r="AQ82" s="62"/>
      <c r="AR82" s="62"/>
      <c r="AS82" s="62"/>
      <c r="AT82" s="62"/>
      <c r="AU82" s="62"/>
      <c r="AV82" s="62"/>
      <c r="AW82" s="62"/>
      <c r="AX82" s="62"/>
    </row>
    <row r="83" spans="1:83" s="218" customFormat="1" ht="10" x14ac:dyDescent="0.25">
      <c r="A83" s="704" t="s">
        <v>231</v>
      </c>
      <c r="B83" s="705" t="s">
        <v>839</v>
      </c>
      <c r="C83" s="706"/>
      <c r="D83" s="707"/>
      <c r="E83" s="708"/>
      <c r="F83" s="707"/>
      <c r="G83" s="708"/>
      <c r="H83" s="707"/>
      <c r="I83" s="708"/>
      <c r="J83" s="707"/>
      <c r="K83" s="708"/>
      <c r="L83" s="707"/>
      <c r="M83" s="707"/>
      <c r="N83" s="755"/>
      <c r="O83" s="707"/>
      <c r="P83" s="709"/>
      <c r="Q83" s="717">
        <v>1950000</v>
      </c>
      <c r="R83" s="718">
        <v>195000</v>
      </c>
      <c r="S83" s="718">
        <v>200000</v>
      </c>
      <c r="T83" s="712">
        <f t="shared" si="16"/>
        <v>195000</v>
      </c>
      <c r="U83" s="707"/>
      <c r="V83" s="713"/>
      <c r="W83" s="709"/>
      <c r="X83" s="707"/>
      <c r="Y83" s="707"/>
      <c r="Z83" s="707"/>
      <c r="AA83" s="752"/>
      <c r="AB83" s="713"/>
      <c r="AC83" s="709">
        <f>IF(M83&lt;&gt;0,M83,IF(S83&lt;&gt;0,S83,IF(Z83&lt;&gt;0,Z83,)))</f>
        <v>200000</v>
      </c>
      <c r="AD83" s="748" t="s">
        <v>474</v>
      </c>
      <c r="AE83" s="714" t="s">
        <v>708</v>
      </c>
      <c r="AF83" s="715"/>
      <c r="AG83" s="275" t="s">
        <v>709</v>
      </c>
      <c r="AH83" s="276" t="s">
        <v>710</v>
      </c>
      <c r="AI83" s="274" t="s">
        <v>549</v>
      </c>
      <c r="AJ83" s="274">
        <v>24</v>
      </c>
      <c r="AK83" s="291" t="s">
        <v>561</v>
      </c>
      <c r="AL83" s="282"/>
      <c r="AM83" s="59">
        <v>2408</v>
      </c>
      <c r="AN83" s="250">
        <v>36783</v>
      </c>
      <c r="AO83" s="216" t="s">
        <v>711</v>
      </c>
      <c r="AP83" s="62"/>
      <c r="AQ83" s="62"/>
      <c r="AR83" s="62"/>
      <c r="AS83" s="62"/>
      <c r="AT83" s="62"/>
      <c r="AU83" s="62"/>
      <c r="AV83" s="62"/>
      <c r="AW83" s="62"/>
      <c r="AX83" s="62"/>
    </row>
    <row r="84" spans="1:83" s="218" customFormat="1" ht="10" x14ac:dyDescent="0.25">
      <c r="A84" s="704" t="s">
        <v>232</v>
      </c>
      <c r="B84" s="705" t="s">
        <v>840</v>
      </c>
      <c r="C84" s="706"/>
      <c r="D84" s="707"/>
      <c r="E84" s="708"/>
      <c r="F84" s="707"/>
      <c r="G84" s="708"/>
      <c r="H84" s="707"/>
      <c r="I84" s="708"/>
      <c r="J84" s="707"/>
      <c r="K84" s="708"/>
      <c r="L84" s="707">
        <f t="shared" si="11"/>
        <v>0</v>
      </c>
      <c r="M84" s="707">
        <f t="shared" si="12"/>
        <v>0</v>
      </c>
      <c r="N84" s="755">
        <f t="shared" si="13"/>
        <v>0</v>
      </c>
      <c r="O84" s="707"/>
      <c r="P84" s="719">
        <v>156000</v>
      </c>
      <c r="Q84" s="733"/>
      <c r="R84" s="734"/>
      <c r="S84" s="734">
        <v>156000</v>
      </c>
      <c r="T84" s="712">
        <f t="shared" si="16"/>
        <v>156000</v>
      </c>
      <c r="U84" s="707">
        <f>IF(T84=0,0,IF(T84=Q84/10,"(c)",0))</f>
        <v>0</v>
      </c>
      <c r="V84" s="713"/>
      <c r="W84" s="709"/>
      <c r="X84" s="707"/>
      <c r="Y84" s="707"/>
      <c r="Z84" s="707"/>
      <c r="AA84" s="752"/>
      <c r="AB84" s="713"/>
      <c r="AC84" s="709">
        <f>IF(M84&lt;&gt;0,M84,IF(S84&lt;&gt;0,S84,IF(Z84&lt;&gt;0,Z84,)))</f>
        <v>156000</v>
      </c>
      <c r="AD84" s="748" t="s">
        <v>509</v>
      </c>
      <c r="AE84" s="714" t="s">
        <v>683</v>
      </c>
      <c r="AF84" s="715"/>
      <c r="AG84" s="275" t="s">
        <v>547</v>
      </c>
      <c r="AH84" s="276" t="s">
        <v>548</v>
      </c>
      <c r="AI84" s="274" t="s">
        <v>601</v>
      </c>
      <c r="AJ84" s="274">
        <v>504</v>
      </c>
      <c r="AK84" s="291" t="s">
        <v>558</v>
      </c>
      <c r="AL84" s="282"/>
      <c r="AM84" s="59">
        <v>847</v>
      </c>
      <c r="AN84" s="250">
        <v>36783</v>
      </c>
      <c r="AO84" s="62" t="s">
        <v>712</v>
      </c>
      <c r="AP84" s="62"/>
      <c r="AQ84" s="62"/>
      <c r="AR84" s="62"/>
      <c r="AS84" s="62"/>
      <c r="AT84" s="62"/>
      <c r="AU84" s="62"/>
      <c r="AV84" s="62"/>
      <c r="AW84" s="62"/>
      <c r="AX84" s="62"/>
    </row>
    <row r="85" spans="1:83" s="218" customFormat="1" ht="20" x14ac:dyDescent="0.25">
      <c r="A85" s="704" t="s">
        <v>233</v>
      </c>
      <c r="B85" s="705" t="s">
        <v>102</v>
      </c>
      <c r="C85" s="706"/>
      <c r="D85" s="707"/>
      <c r="E85" s="708"/>
      <c r="F85" s="707"/>
      <c r="G85" s="708"/>
      <c r="H85" s="707"/>
      <c r="I85" s="708"/>
      <c r="J85" s="707"/>
      <c r="K85" s="708"/>
      <c r="L85" s="707"/>
      <c r="M85" s="707"/>
      <c r="N85" s="755"/>
      <c r="O85" s="707"/>
      <c r="P85" s="719"/>
      <c r="Q85" s="733"/>
      <c r="R85" s="734"/>
      <c r="S85" s="734"/>
      <c r="T85" s="712">
        <f t="shared" si="16"/>
        <v>0</v>
      </c>
      <c r="U85" s="707"/>
      <c r="V85" s="713"/>
      <c r="W85" s="709">
        <v>0.77</v>
      </c>
      <c r="X85" s="707"/>
      <c r="Y85" s="707"/>
      <c r="Z85" s="707">
        <v>0.77</v>
      </c>
      <c r="AA85" s="752" t="s">
        <v>513</v>
      </c>
      <c r="AB85" s="713"/>
      <c r="AC85" s="709">
        <v>0.77</v>
      </c>
      <c r="AD85" s="748" t="s">
        <v>107</v>
      </c>
      <c r="AE85" s="714" t="s">
        <v>714</v>
      </c>
      <c r="AF85" s="715"/>
      <c r="AG85" s="275"/>
      <c r="AH85" s="276"/>
      <c r="AI85" s="274"/>
      <c r="AJ85" s="274"/>
      <c r="AK85" s="291"/>
      <c r="AL85" s="282"/>
      <c r="AM85" s="59"/>
      <c r="AN85" s="250"/>
      <c r="AO85" s="62"/>
      <c r="AP85" s="62"/>
      <c r="AQ85" s="62"/>
      <c r="AR85" s="62"/>
      <c r="AS85" s="62"/>
      <c r="AT85" s="62"/>
      <c r="AU85" s="62"/>
      <c r="AV85" s="62"/>
      <c r="AW85" s="62"/>
      <c r="AX85" s="62"/>
      <c r="CE85" s="218" t="s">
        <v>713</v>
      </c>
    </row>
    <row r="86" spans="1:83" s="218" customFormat="1" ht="20" x14ac:dyDescent="0.25">
      <c r="A86" s="704" t="s">
        <v>234</v>
      </c>
      <c r="B86" s="705" t="s">
        <v>841</v>
      </c>
      <c r="C86" s="706"/>
      <c r="D86" s="707"/>
      <c r="E86" s="708"/>
      <c r="F86" s="707"/>
      <c r="G86" s="708"/>
      <c r="H86" s="707"/>
      <c r="I86" s="708"/>
      <c r="J86" s="707"/>
      <c r="K86" s="708"/>
      <c r="L86" s="707">
        <f t="shared" si="11"/>
        <v>0</v>
      </c>
      <c r="M86" s="707">
        <f t="shared" si="12"/>
        <v>0</v>
      </c>
      <c r="N86" s="755">
        <f t="shared" si="13"/>
        <v>0</v>
      </c>
      <c r="O86" s="707"/>
      <c r="P86" s="719"/>
      <c r="Q86" s="710"/>
      <c r="R86" s="720"/>
      <c r="S86" s="718"/>
      <c r="T86" s="712">
        <f t="shared" si="16"/>
        <v>0</v>
      </c>
      <c r="U86" s="707">
        <f t="shared" ref="U86:U113" si="17">IF(T86=0,0,IF(T86=Q86/10,"(c)",0))</f>
        <v>0</v>
      </c>
      <c r="V86" s="713"/>
      <c r="W86" s="719">
        <v>100000</v>
      </c>
      <c r="X86" s="707"/>
      <c r="Y86" s="707"/>
      <c r="Z86" s="722">
        <v>100000</v>
      </c>
      <c r="AA86" s="752" t="s">
        <v>503</v>
      </c>
      <c r="AB86" s="713"/>
      <c r="AC86" s="709">
        <f t="shared" ref="AC86:AC104" si="18">IF(M86&lt;&gt;0,M86,IF(S86&lt;&gt;0,S86,IF(Z86&lt;&gt;0,Z86,)))</f>
        <v>100000</v>
      </c>
      <c r="AD86" s="748" t="s">
        <v>473</v>
      </c>
      <c r="AE86" s="714" t="s">
        <v>514</v>
      </c>
      <c r="AF86" s="715"/>
      <c r="AG86" s="275" t="s">
        <v>547</v>
      </c>
      <c r="AH86" s="276" t="s">
        <v>548</v>
      </c>
      <c r="AI86" s="274" t="s">
        <v>549</v>
      </c>
      <c r="AJ86" s="274">
        <v>504</v>
      </c>
      <c r="AK86" s="291" t="s">
        <v>550</v>
      </c>
      <c r="AL86" s="282"/>
      <c r="AM86" s="59"/>
      <c r="AN86" s="250">
        <v>37152</v>
      </c>
      <c r="AO86" s="62" t="s">
        <v>716</v>
      </c>
      <c r="AP86" s="62"/>
      <c r="AQ86" s="62"/>
      <c r="AR86" s="62"/>
      <c r="AS86" s="62"/>
      <c r="AT86" s="62"/>
      <c r="AU86" s="62"/>
      <c r="AV86" s="62"/>
      <c r="AW86" s="62"/>
      <c r="AX86" s="62"/>
      <c r="CE86" s="218" t="s">
        <v>715</v>
      </c>
    </row>
    <row r="87" spans="1:83" s="218" customFormat="1" ht="10" x14ac:dyDescent="0.25">
      <c r="A87" s="704" t="s">
        <v>235</v>
      </c>
      <c r="B87" s="705" t="s">
        <v>842</v>
      </c>
      <c r="C87" s="706"/>
      <c r="D87" s="707"/>
      <c r="E87" s="708"/>
      <c r="F87" s="707"/>
      <c r="G87" s="708"/>
      <c r="H87" s="707"/>
      <c r="I87" s="708"/>
      <c r="J87" s="707"/>
      <c r="K87" s="708"/>
      <c r="L87" s="707">
        <f t="shared" si="11"/>
        <v>0</v>
      </c>
      <c r="M87" s="707">
        <f t="shared" si="12"/>
        <v>0</v>
      </c>
      <c r="N87" s="755">
        <f t="shared" si="13"/>
        <v>0</v>
      </c>
      <c r="O87" s="707"/>
      <c r="P87" s="709"/>
      <c r="Q87" s="710">
        <v>700</v>
      </c>
      <c r="R87" s="720">
        <v>70</v>
      </c>
      <c r="S87" s="720">
        <v>70</v>
      </c>
      <c r="T87" s="712">
        <f t="shared" si="16"/>
        <v>70</v>
      </c>
      <c r="U87" s="707" t="str">
        <f t="shared" si="17"/>
        <v>(c)</v>
      </c>
      <c r="V87" s="713"/>
      <c r="W87" s="709"/>
      <c r="X87" s="707"/>
      <c r="Y87" s="707"/>
      <c r="Z87" s="707"/>
      <c r="AA87" s="752"/>
      <c r="AB87" s="713"/>
      <c r="AC87" s="709">
        <f t="shared" si="18"/>
        <v>70</v>
      </c>
      <c r="AD87" s="748" t="s">
        <v>474</v>
      </c>
      <c r="AE87" s="714" t="s">
        <v>717</v>
      </c>
      <c r="AF87" s="715"/>
      <c r="AG87" s="275" t="s">
        <v>718</v>
      </c>
      <c r="AH87" s="276" t="s">
        <v>719</v>
      </c>
      <c r="AI87" s="274" t="s">
        <v>549</v>
      </c>
      <c r="AJ87" s="274">
        <v>24</v>
      </c>
      <c r="AK87" s="291" t="s">
        <v>561</v>
      </c>
      <c r="AL87" s="282"/>
      <c r="AM87" s="59">
        <v>6041</v>
      </c>
      <c r="AN87" s="250">
        <v>36899</v>
      </c>
      <c r="AO87" s="62" t="s">
        <v>720</v>
      </c>
      <c r="AP87" s="62"/>
      <c r="AQ87" s="62"/>
      <c r="AR87" s="62"/>
      <c r="AS87" s="62"/>
      <c r="AT87" s="62"/>
      <c r="AU87" s="62"/>
      <c r="AV87" s="62"/>
      <c r="AW87" s="62"/>
      <c r="AX87" s="62"/>
    </row>
    <row r="88" spans="1:83" s="218" customFormat="1" ht="10" x14ac:dyDescent="0.25">
      <c r="A88" s="704" t="s">
        <v>236</v>
      </c>
      <c r="B88" s="705" t="s">
        <v>843</v>
      </c>
      <c r="C88" s="706"/>
      <c r="D88" s="707"/>
      <c r="E88" s="708"/>
      <c r="F88" s="707"/>
      <c r="G88" s="708"/>
      <c r="H88" s="707"/>
      <c r="I88" s="708"/>
      <c r="J88" s="707"/>
      <c r="K88" s="708"/>
      <c r="L88" s="707">
        <f t="shared" si="11"/>
        <v>0</v>
      </c>
      <c r="M88" s="707">
        <f t="shared" si="12"/>
        <v>0</v>
      </c>
      <c r="N88" s="755">
        <f t="shared" si="13"/>
        <v>0</v>
      </c>
      <c r="O88" s="707"/>
      <c r="P88" s="709">
        <v>72</v>
      </c>
      <c r="Q88" s="710"/>
      <c r="R88" s="720"/>
      <c r="S88" s="720">
        <v>72</v>
      </c>
      <c r="T88" s="712">
        <f t="shared" si="16"/>
        <v>72</v>
      </c>
      <c r="U88" s="707">
        <f t="shared" si="17"/>
        <v>0</v>
      </c>
      <c r="V88" s="713"/>
      <c r="W88" s="709"/>
      <c r="X88" s="707"/>
      <c r="Y88" s="707"/>
      <c r="Z88" s="707"/>
      <c r="AA88" s="752"/>
      <c r="AB88" s="713"/>
      <c r="AC88" s="709">
        <f t="shared" si="18"/>
        <v>72</v>
      </c>
      <c r="AD88" s="748" t="s">
        <v>473</v>
      </c>
      <c r="AE88" s="714" t="s">
        <v>722</v>
      </c>
      <c r="AF88" s="715"/>
      <c r="AG88" s="275" t="s">
        <v>723</v>
      </c>
      <c r="AH88" s="276" t="s">
        <v>672</v>
      </c>
      <c r="AI88" s="274" t="s">
        <v>549</v>
      </c>
      <c r="AJ88" s="274">
        <v>648</v>
      </c>
      <c r="AK88" s="291" t="s">
        <v>550</v>
      </c>
      <c r="AL88" s="282"/>
      <c r="AM88" s="59">
        <v>10056</v>
      </c>
      <c r="AN88" s="250">
        <v>36899</v>
      </c>
      <c r="AO88" s="62" t="s">
        <v>724</v>
      </c>
      <c r="AP88" s="62"/>
      <c r="AQ88" s="62"/>
      <c r="AR88" s="62"/>
      <c r="AS88" s="62"/>
      <c r="AT88" s="62"/>
      <c r="AU88" s="62"/>
      <c r="AV88" s="62"/>
      <c r="AW88" s="62"/>
      <c r="AX88" s="62"/>
    </row>
    <row r="89" spans="1:83" s="218" customFormat="1" ht="10" x14ac:dyDescent="0.25">
      <c r="A89" s="704" t="s">
        <v>237</v>
      </c>
      <c r="B89" s="705" t="s">
        <v>844</v>
      </c>
      <c r="C89" s="706"/>
      <c r="D89" s="707">
        <v>140</v>
      </c>
      <c r="E89" s="708" t="s">
        <v>511</v>
      </c>
      <c r="F89" s="707">
        <v>16</v>
      </c>
      <c r="G89" s="708" t="s">
        <v>511</v>
      </c>
      <c r="H89" s="707">
        <v>74</v>
      </c>
      <c r="I89" s="708"/>
      <c r="J89" s="707">
        <v>8.1999999999999993</v>
      </c>
      <c r="K89" s="708"/>
      <c r="L89" s="707">
        <f>MIN(D89,F89,H89,J89)</f>
        <v>8.1999999999999993</v>
      </c>
      <c r="M89" s="707">
        <f>IF(OR(L89=J89,L89=F89),L89,L89/10)</f>
        <v>8.1999999999999993</v>
      </c>
      <c r="N89" s="755" t="str">
        <f>IF(M89=0,0,IF(M89=J89,"CCC(SW)",IF(M89=F89,"CCC(FW)",IF(M89=D89/10,"CMC(FW)/10","CMC(SW)/10"))))</f>
        <v>CCC(SW)</v>
      </c>
      <c r="O89" s="707"/>
      <c r="P89" s="709"/>
      <c r="Q89" s="710"/>
      <c r="R89" s="720"/>
      <c r="S89" s="720"/>
      <c r="T89" s="712">
        <f t="shared" si="16"/>
        <v>0</v>
      </c>
      <c r="U89" s="707">
        <f t="shared" si="17"/>
        <v>0</v>
      </c>
      <c r="V89" s="713"/>
      <c r="W89" s="709"/>
      <c r="X89" s="707"/>
      <c r="Y89" s="707"/>
      <c r="Z89" s="707"/>
      <c r="AA89" s="752"/>
      <c r="AB89" s="713"/>
      <c r="AC89" s="709">
        <f t="shared" si="18"/>
        <v>8.1999999999999993</v>
      </c>
      <c r="AD89" s="748" t="str">
        <f>IF(AC89=0,"No Data",IF(AC89=M89,N89,IF(AC89=Q89/10,"AQUIRE(ACUTE)/10",IF(AC89=P89,"AQUIRE(CHRONIC)",IF(AC89=W89,"Lowest Chronic","Tier II Chronic")))))</f>
        <v>CCC(SW)</v>
      </c>
      <c r="AE89" s="714" t="s">
        <v>118</v>
      </c>
      <c r="AF89" s="715"/>
      <c r="AG89" s="272" t="s">
        <v>541</v>
      </c>
      <c r="AH89" s="273" t="s">
        <v>541</v>
      </c>
      <c r="AI89" s="274"/>
      <c r="AJ89" s="274"/>
      <c r="AK89" s="291"/>
      <c r="AL89" s="282"/>
      <c r="AM89" s="59" t="s">
        <v>541</v>
      </c>
      <c r="AN89" s="59" t="s">
        <v>542</v>
      </c>
      <c r="AO89" s="62" t="s">
        <v>543</v>
      </c>
      <c r="AP89" s="62"/>
      <c r="AQ89" s="62"/>
      <c r="AR89" s="62"/>
      <c r="AS89" s="62"/>
      <c r="AT89" s="62"/>
      <c r="AU89" s="62"/>
      <c r="AV89" s="62"/>
      <c r="AW89" s="62"/>
      <c r="AX89" s="62"/>
    </row>
    <row r="90" spans="1:83" s="218" customFormat="1" ht="10" x14ac:dyDescent="0.25">
      <c r="A90" s="704" t="s">
        <v>238</v>
      </c>
      <c r="B90" s="705" t="s">
        <v>845</v>
      </c>
      <c r="C90" s="706"/>
      <c r="D90" s="707">
        <v>19</v>
      </c>
      <c r="E90" s="708" t="s">
        <v>440</v>
      </c>
      <c r="F90" s="707">
        <v>15</v>
      </c>
      <c r="G90" s="708" t="s">
        <v>440</v>
      </c>
      <c r="H90" s="707">
        <v>13</v>
      </c>
      <c r="I90" s="708"/>
      <c r="J90" s="707">
        <v>7.9</v>
      </c>
      <c r="K90" s="708"/>
      <c r="L90" s="707">
        <f>MIN(D90,F90,H90,J90)</f>
        <v>7.9</v>
      </c>
      <c r="M90" s="707">
        <f>IF(OR(L90=J90,L90=F90),L90,L90/10)</f>
        <v>7.9</v>
      </c>
      <c r="N90" s="755" t="str">
        <f>IF(M90=0,0,IF(M90=J90,"CCC(SW)",IF(M90=F90,"CCC(FW)",IF(M90=D90/10,"CMC(FW)/10","CMC(SW)/10"))))</f>
        <v>CCC(SW)</v>
      </c>
      <c r="O90" s="707"/>
      <c r="P90" s="709"/>
      <c r="Q90" s="710"/>
      <c r="R90" s="720"/>
      <c r="S90" s="720"/>
      <c r="T90" s="712">
        <f t="shared" si="16"/>
        <v>0</v>
      </c>
      <c r="U90" s="707">
        <f t="shared" si="17"/>
        <v>0</v>
      </c>
      <c r="V90" s="713"/>
      <c r="W90" s="709"/>
      <c r="X90" s="707"/>
      <c r="Y90" s="707"/>
      <c r="Z90" s="707"/>
      <c r="AA90" s="752"/>
      <c r="AB90" s="713"/>
      <c r="AC90" s="709">
        <f t="shared" si="18"/>
        <v>7.9</v>
      </c>
      <c r="AD90" s="748" t="str">
        <f>IF(AC90=0,"No Data",IF(AC90=M90,N90,IF(AC90=Q90/10,"AQUIRE(ACUTE)/10",IF(AC90=P90,"AQUIRE(CHRONIC)",IF(AC90=W90,"Lowest Chronic","Tier II Chronic")))))</f>
        <v>CCC(SW)</v>
      </c>
      <c r="AE90" s="714" t="s">
        <v>118</v>
      </c>
      <c r="AF90" s="715"/>
      <c r="AG90" s="272" t="s">
        <v>541</v>
      </c>
      <c r="AH90" s="273" t="s">
        <v>541</v>
      </c>
      <c r="AI90" s="274"/>
      <c r="AJ90" s="274"/>
      <c r="AK90" s="291"/>
      <c r="AL90" s="282"/>
      <c r="AM90" s="59" t="s">
        <v>541</v>
      </c>
      <c r="AN90" s="59" t="s">
        <v>542</v>
      </c>
      <c r="AO90" s="62" t="s">
        <v>543</v>
      </c>
      <c r="AP90" s="62"/>
      <c r="AQ90" s="62"/>
      <c r="AR90" s="62"/>
      <c r="AS90" s="62"/>
      <c r="AT90" s="62"/>
      <c r="AU90" s="62"/>
      <c r="AV90" s="62"/>
      <c r="AW90" s="62"/>
      <c r="AX90" s="62"/>
    </row>
    <row r="91" spans="1:83" s="218" customFormat="1" ht="20" x14ac:dyDescent="0.25">
      <c r="A91" s="735" t="s">
        <v>940</v>
      </c>
      <c r="B91" s="705"/>
      <c r="C91" s="706"/>
      <c r="D91" s="707"/>
      <c r="E91" s="708"/>
      <c r="F91" s="707"/>
      <c r="G91" s="708"/>
      <c r="H91" s="707"/>
      <c r="I91" s="708"/>
      <c r="J91" s="707"/>
      <c r="K91" s="708"/>
      <c r="L91" s="707"/>
      <c r="M91" s="707"/>
      <c r="N91" s="755"/>
      <c r="O91" s="707"/>
      <c r="P91" s="709"/>
      <c r="Q91" s="710"/>
      <c r="R91" s="720"/>
      <c r="S91" s="720"/>
      <c r="T91" s="712">
        <f t="shared" si="16"/>
        <v>0</v>
      </c>
      <c r="U91" s="707"/>
      <c r="V91" s="713"/>
      <c r="W91" s="709"/>
      <c r="X91" s="707"/>
      <c r="Y91" s="707"/>
      <c r="Z91" s="707"/>
      <c r="AA91" s="752"/>
      <c r="AB91" s="713"/>
      <c r="AC91" s="709"/>
      <c r="AD91" s="748"/>
      <c r="AE91" s="714"/>
      <c r="AF91" s="715"/>
      <c r="AG91" s="272"/>
      <c r="AH91" s="273"/>
      <c r="AI91" s="274"/>
      <c r="AJ91" s="73"/>
      <c r="AK91" s="291"/>
      <c r="AL91" s="282"/>
      <c r="AM91" s="59"/>
      <c r="AN91" s="250"/>
      <c r="AO91" s="62"/>
      <c r="AP91" s="62"/>
      <c r="AQ91" s="62"/>
      <c r="AR91" s="62"/>
      <c r="AS91" s="62"/>
      <c r="AT91" s="62"/>
      <c r="AU91" s="62"/>
      <c r="AV91" s="62"/>
      <c r="AW91" s="62"/>
      <c r="AX91" s="62"/>
    </row>
    <row r="92" spans="1:83" s="218" customFormat="1" ht="10" x14ac:dyDescent="0.25">
      <c r="A92" s="704" t="s">
        <v>949</v>
      </c>
      <c r="B92" s="705" t="s">
        <v>1011</v>
      </c>
      <c r="C92" s="706"/>
      <c r="D92" s="707"/>
      <c r="E92" s="708"/>
      <c r="F92" s="707"/>
      <c r="G92" s="708"/>
      <c r="H92" s="707"/>
      <c r="I92" s="708"/>
      <c r="J92" s="707"/>
      <c r="K92" s="708"/>
      <c r="L92" s="707"/>
      <c r="M92" s="707"/>
      <c r="N92" s="755"/>
      <c r="O92" s="707"/>
      <c r="P92" s="709"/>
      <c r="Q92" s="710"/>
      <c r="R92" s="720"/>
      <c r="S92" s="720"/>
      <c r="T92" s="712">
        <f t="shared" si="16"/>
        <v>0</v>
      </c>
      <c r="U92" s="707"/>
      <c r="V92" s="713"/>
      <c r="W92" s="709">
        <v>1705</v>
      </c>
      <c r="X92" s="707"/>
      <c r="Y92" s="707"/>
      <c r="Z92" s="707">
        <v>1705</v>
      </c>
      <c r="AA92" s="752" t="s">
        <v>925</v>
      </c>
      <c r="AB92" s="713"/>
      <c r="AC92" s="709">
        <f t="shared" ref="AC92" si="19">IF(M92&lt;&gt;0,M92,IF(S92&lt;&gt;0,S92,IF(Z92&lt;&gt;0,Z92,)))</f>
        <v>1705</v>
      </c>
      <c r="AD92" s="748" t="s">
        <v>924</v>
      </c>
      <c r="AE92" s="714" t="s">
        <v>926</v>
      </c>
      <c r="AF92" s="715"/>
      <c r="AG92" s="272"/>
      <c r="AH92" s="273"/>
      <c r="AI92" s="274"/>
      <c r="AJ92" s="73"/>
      <c r="AK92" s="291"/>
      <c r="AL92" s="282"/>
      <c r="AM92" s="59"/>
      <c r="AN92" s="250"/>
      <c r="AO92" s="62"/>
      <c r="AP92" s="62"/>
      <c r="AQ92" s="62"/>
      <c r="AR92" s="62"/>
      <c r="AS92" s="62"/>
      <c r="AT92" s="62"/>
      <c r="AU92" s="62"/>
      <c r="AV92" s="62"/>
      <c r="AW92" s="62"/>
      <c r="AX92" s="62"/>
    </row>
    <row r="93" spans="1:83" s="218" customFormat="1" ht="20" x14ac:dyDescent="0.25">
      <c r="A93" s="704" t="s">
        <v>891</v>
      </c>
      <c r="B93" s="705" t="s">
        <v>912</v>
      </c>
      <c r="C93" s="706"/>
      <c r="D93" s="707"/>
      <c r="E93" s="708"/>
      <c r="F93" s="707"/>
      <c r="G93" s="708"/>
      <c r="H93" s="707"/>
      <c r="I93" s="708"/>
      <c r="J93" s="707"/>
      <c r="K93" s="708"/>
      <c r="L93" s="707"/>
      <c r="M93" s="707"/>
      <c r="N93" s="755"/>
      <c r="O93" s="707"/>
      <c r="P93" s="709"/>
      <c r="Q93" s="710"/>
      <c r="R93" s="720"/>
      <c r="S93" s="720"/>
      <c r="T93" s="712">
        <f t="shared" si="16"/>
        <v>0</v>
      </c>
      <c r="U93" s="707"/>
      <c r="V93" s="713"/>
      <c r="W93" s="709">
        <v>1705</v>
      </c>
      <c r="X93" s="707"/>
      <c r="Y93" s="707"/>
      <c r="Z93" s="707">
        <v>1705</v>
      </c>
      <c r="AA93" s="752" t="s">
        <v>925</v>
      </c>
      <c r="AB93" s="713"/>
      <c r="AC93" s="709">
        <f t="shared" si="18"/>
        <v>1705</v>
      </c>
      <c r="AD93" s="748" t="s">
        <v>924</v>
      </c>
      <c r="AE93" s="714" t="s">
        <v>926</v>
      </c>
      <c r="AF93" s="715"/>
      <c r="AG93" s="272"/>
      <c r="AH93" s="276"/>
      <c r="AI93" s="274"/>
      <c r="AJ93" s="73"/>
      <c r="AK93" s="291"/>
      <c r="AL93" s="282"/>
      <c r="AM93" s="59"/>
      <c r="AN93" s="250"/>
      <c r="AO93" s="62" t="s">
        <v>921</v>
      </c>
      <c r="AP93" s="62"/>
      <c r="AQ93" s="62"/>
      <c r="AR93" s="62"/>
      <c r="AS93" s="62"/>
      <c r="AT93" s="62"/>
      <c r="AU93" s="62"/>
      <c r="AV93" s="62"/>
      <c r="AW93" s="62"/>
      <c r="AX93" s="62"/>
    </row>
    <row r="94" spans="1:83" s="218" customFormat="1" ht="20" x14ac:dyDescent="0.25">
      <c r="A94" s="704" t="s">
        <v>892</v>
      </c>
      <c r="B94" s="705" t="s">
        <v>913</v>
      </c>
      <c r="C94" s="706"/>
      <c r="D94" s="707"/>
      <c r="E94" s="708"/>
      <c r="F94" s="707"/>
      <c r="G94" s="708"/>
      <c r="H94" s="707"/>
      <c r="I94" s="708"/>
      <c r="J94" s="707"/>
      <c r="K94" s="708"/>
      <c r="L94" s="707"/>
      <c r="M94" s="707"/>
      <c r="N94" s="755"/>
      <c r="O94" s="707"/>
      <c r="P94" s="709"/>
      <c r="Q94" s="710"/>
      <c r="R94" s="720"/>
      <c r="S94" s="720"/>
      <c r="T94" s="712">
        <f t="shared" si="16"/>
        <v>0</v>
      </c>
      <c r="U94" s="707"/>
      <c r="V94" s="713"/>
      <c r="W94" s="709">
        <v>19</v>
      </c>
      <c r="X94" s="707"/>
      <c r="Y94" s="707"/>
      <c r="Z94" s="707">
        <v>19</v>
      </c>
      <c r="AA94" s="752" t="s">
        <v>925</v>
      </c>
      <c r="AB94" s="713"/>
      <c r="AC94" s="709">
        <f t="shared" si="18"/>
        <v>19</v>
      </c>
      <c r="AD94" s="748" t="s">
        <v>924</v>
      </c>
      <c r="AE94" s="714" t="s">
        <v>926</v>
      </c>
      <c r="AF94" s="715"/>
      <c r="AG94" s="272"/>
      <c r="AH94" s="276"/>
      <c r="AI94" s="274"/>
      <c r="AJ94" s="73"/>
      <c r="AK94" s="291"/>
      <c r="AL94" s="282"/>
      <c r="AM94" s="59"/>
      <c r="AN94" s="250"/>
      <c r="AO94" s="62" t="s">
        <v>922</v>
      </c>
      <c r="AP94" s="62"/>
      <c r="AQ94" s="62"/>
      <c r="AR94" s="62"/>
      <c r="AS94" s="62"/>
      <c r="AT94" s="62"/>
      <c r="AU94" s="62"/>
      <c r="AV94" s="62"/>
      <c r="AW94" s="62"/>
      <c r="AX94" s="62"/>
    </row>
    <row r="95" spans="1:83" s="218" customFormat="1" ht="10" x14ac:dyDescent="0.25">
      <c r="A95" s="704" t="s">
        <v>890</v>
      </c>
      <c r="B95" s="705" t="s">
        <v>914</v>
      </c>
      <c r="C95" s="706"/>
      <c r="D95" s="707"/>
      <c r="E95" s="708"/>
      <c r="F95" s="707"/>
      <c r="G95" s="708"/>
      <c r="H95" s="707"/>
      <c r="I95" s="708"/>
      <c r="J95" s="707"/>
      <c r="K95" s="708"/>
      <c r="L95" s="707"/>
      <c r="M95" s="707"/>
      <c r="N95" s="755"/>
      <c r="O95" s="707"/>
      <c r="P95" s="709"/>
      <c r="Q95" s="710"/>
      <c r="R95" s="720"/>
      <c r="S95" s="720"/>
      <c r="T95" s="712">
        <f t="shared" si="16"/>
        <v>0</v>
      </c>
      <c r="U95" s="707"/>
      <c r="V95" s="713"/>
      <c r="W95" s="709">
        <v>1705</v>
      </c>
      <c r="X95" s="707"/>
      <c r="Y95" s="707"/>
      <c r="Z95" s="707">
        <v>1705</v>
      </c>
      <c r="AA95" s="752" t="s">
        <v>925</v>
      </c>
      <c r="AB95" s="713"/>
      <c r="AC95" s="709">
        <f t="shared" si="18"/>
        <v>1705</v>
      </c>
      <c r="AD95" s="748" t="s">
        <v>924</v>
      </c>
      <c r="AE95" s="714" t="s">
        <v>926</v>
      </c>
      <c r="AF95" s="715"/>
      <c r="AG95" s="272"/>
      <c r="AH95" s="276"/>
      <c r="AI95" s="274"/>
      <c r="AJ95" s="73"/>
      <c r="AK95" s="291"/>
      <c r="AL95" s="282"/>
      <c r="AM95" s="59"/>
      <c r="AN95" s="250"/>
      <c r="AO95" s="62" t="s">
        <v>921</v>
      </c>
      <c r="AP95" s="62"/>
      <c r="AQ95" s="62"/>
      <c r="AR95" s="62"/>
      <c r="AS95" s="62"/>
      <c r="AT95" s="62"/>
      <c r="AU95" s="62"/>
      <c r="AV95" s="62"/>
      <c r="AW95" s="62"/>
      <c r="AX95" s="62"/>
    </row>
    <row r="96" spans="1:83" s="218" customFormat="1" ht="20" x14ac:dyDescent="0.25">
      <c r="A96" s="704" t="s">
        <v>927</v>
      </c>
      <c r="B96" s="705" t="s">
        <v>915</v>
      </c>
      <c r="C96" s="706"/>
      <c r="D96" s="707"/>
      <c r="E96" s="708"/>
      <c r="F96" s="707"/>
      <c r="G96" s="708"/>
      <c r="H96" s="707"/>
      <c r="I96" s="708"/>
      <c r="J96" s="707"/>
      <c r="K96" s="708"/>
      <c r="L96" s="707"/>
      <c r="M96" s="707"/>
      <c r="N96" s="755"/>
      <c r="O96" s="707"/>
      <c r="P96" s="709"/>
      <c r="Q96" s="710"/>
      <c r="R96" s="720"/>
      <c r="S96" s="720"/>
      <c r="T96" s="712">
        <f t="shared" si="16"/>
        <v>0</v>
      </c>
      <c r="U96" s="707"/>
      <c r="V96" s="713"/>
      <c r="W96" s="709">
        <v>19</v>
      </c>
      <c r="X96" s="707"/>
      <c r="Y96" s="707"/>
      <c r="Z96" s="707">
        <v>19</v>
      </c>
      <c r="AA96" s="752" t="s">
        <v>925</v>
      </c>
      <c r="AB96" s="713"/>
      <c r="AC96" s="709">
        <f t="shared" si="18"/>
        <v>19</v>
      </c>
      <c r="AD96" s="748" t="s">
        <v>924</v>
      </c>
      <c r="AE96" s="714" t="s">
        <v>926</v>
      </c>
      <c r="AF96" s="715"/>
      <c r="AG96" s="272"/>
      <c r="AH96" s="276"/>
      <c r="AI96" s="274"/>
      <c r="AJ96" s="274"/>
      <c r="AK96" s="291"/>
      <c r="AL96" s="282"/>
      <c r="AM96" s="59"/>
      <c r="AN96" s="250"/>
      <c r="AO96" s="62" t="s">
        <v>922</v>
      </c>
      <c r="AP96" s="62"/>
      <c r="AQ96" s="62"/>
      <c r="AR96" s="62"/>
      <c r="AS96" s="62"/>
      <c r="AT96" s="62"/>
      <c r="AU96" s="62"/>
      <c r="AV96" s="62"/>
      <c r="AW96" s="62"/>
      <c r="AX96" s="62"/>
    </row>
    <row r="97" spans="1:83" s="218" customFormat="1" ht="10" x14ac:dyDescent="0.25">
      <c r="A97" s="704" t="s">
        <v>893</v>
      </c>
      <c r="B97" s="705" t="s">
        <v>916</v>
      </c>
      <c r="C97" s="706"/>
      <c r="D97" s="707"/>
      <c r="E97" s="708"/>
      <c r="F97" s="707"/>
      <c r="G97" s="708"/>
      <c r="H97" s="707"/>
      <c r="I97" s="708"/>
      <c r="J97" s="707"/>
      <c r="K97" s="708"/>
      <c r="L97" s="707"/>
      <c r="M97" s="707"/>
      <c r="N97" s="755"/>
      <c r="O97" s="707"/>
      <c r="P97" s="709"/>
      <c r="Q97" s="710"/>
      <c r="R97" s="720"/>
      <c r="S97" s="720"/>
      <c r="T97" s="712">
        <f t="shared" si="16"/>
        <v>0</v>
      </c>
      <c r="U97" s="707"/>
      <c r="V97" s="713"/>
      <c r="W97" s="709">
        <v>1705</v>
      </c>
      <c r="X97" s="707"/>
      <c r="Y97" s="707"/>
      <c r="Z97" s="707">
        <v>1705</v>
      </c>
      <c r="AA97" s="752" t="s">
        <v>925</v>
      </c>
      <c r="AB97" s="713"/>
      <c r="AC97" s="709">
        <f t="shared" si="18"/>
        <v>1705</v>
      </c>
      <c r="AD97" s="748" t="s">
        <v>924</v>
      </c>
      <c r="AE97" s="714" t="s">
        <v>926</v>
      </c>
      <c r="AF97" s="715"/>
      <c r="AG97" s="272"/>
      <c r="AH97" s="276"/>
      <c r="AI97" s="274"/>
      <c r="AJ97" s="274"/>
      <c r="AK97" s="291"/>
      <c r="AL97" s="282"/>
      <c r="AM97" s="59"/>
      <c r="AN97" s="250"/>
      <c r="AO97" s="62" t="s">
        <v>923</v>
      </c>
      <c r="AP97" s="62"/>
      <c r="AQ97" s="62"/>
      <c r="AR97" s="62"/>
      <c r="AS97" s="62"/>
      <c r="AT97" s="62"/>
      <c r="AU97" s="62"/>
      <c r="AV97" s="62"/>
      <c r="AW97" s="62"/>
      <c r="AX97" s="62"/>
    </row>
    <row r="98" spans="1:83" s="218" customFormat="1" ht="10" x14ac:dyDescent="0.25">
      <c r="A98" s="704" t="s">
        <v>615</v>
      </c>
      <c r="B98" s="705" t="s">
        <v>541</v>
      </c>
      <c r="C98" s="706"/>
      <c r="D98" s="707"/>
      <c r="E98" s="708"/>
      <c r="F98" s="707"/>
      <c r="G98" s="708"/>
      <c r="H98" s="707"/>
      <c r="I98" s="708"/>
      <c r="J98" s="707"/>
      <c r="K98" s="708"/>
      <c r="L98" s="707"/>
      <c r="M98" s="707"/>
      <c r="N98" s="755"/>
      <c r="O98" s="707"/>
      <c r="P98" s="709">
        <v>59</v>
      </c>
      <c r="Q98" s="710"/>
      <c r="R98" s="720"/>
      <c r="S98" s="720">
        <v>59</v>
      </c>
      <c r="T98" s="712">
        <f t="shared" si="16"/>
        <v>59</v>
      </c>
      <c r="U98" s="707"/>
      <c r="V98" s="713"/>
      <c r="W98" s="709"/>
      <c r="X98" s="707"/>
      <c r="Y98" s="707"/>
      <c r="Z98" s="707"/>
      <c r="AA98" s="752"/>
      <c r="AB98" s="713"/>
      <c r="AC98" s="709">
        <f>IF(M98&lt;&gt;0,M98,IF(S98&lt;&gt;0,S98,IF(Z98&lt;&gt;0,Z98,)))</f>
        <v>59</v>
      </c>
      <c r="AD98" s="748" t="s">
        <v>473</v>
      </c>
      <c r="AE98" s="714" t="s">
        <v>730</v>
      </c>
      <c r="AF98" s="715"/>
      <c r="AG98" s="272"/>
      <c r="AH98" s="273"/>
      <c r="AI98" s="274"/>
      <c r="AJ98" s="274"/>
      <c r="AK98" s="291"/>
      <c r="AL98" s="282"/>
      <c r="AM98" s="59"/>
      <c r="AN98" s="250">
        <v>37753</v>
      </c>
      <c r="AO98" s="62"/>
      <c r="AP98" s="62"/>
      <c r="AQ98" s="62"/>
      <c r="AR98" s="62"/>
      <c r="AS98" s="62"/>
      <c r="AT98" s="62"/>
      <c r="AU98" s="62"/>
      <c r="AV98" s="62"/>
      <c r="AW98" s="62"/>
      <c r="AX98" s="62"/>
    </row>
    <row r="99" spans="1:83" s="218" customFormat="1" ht="10" x14ac:dyDescent="0.25">
      <c r="A99" s="704" t="s">
        <v>103</v>
      </c>
      <c r="B99" s="705" t="s">
        <v>541</v>
      </c>
      <c r="C99" s="706"/>
      <c r="D99" s="707"/>
      <c r="E99" s="708"/>
      <c r="F99" s="707"/>
      <c r="G99" s="708"/>
      <c r="H99" s="707"/>
      <c r="I99" s="708"/>
      <c r="J99" s="707"/>
      <c r="K99" s="708"/>
      <c r="L99" s="707">
        <f t="shared" si="11"/>
        <v>0</v>
      </c>
      <c r="M99" s="707">
        <f t="shared" si="12"/>
        <v>0</v>
      </c>
      <c r="N99" s="755">
        <f t="shared" si="13"/>
        <v>0</v>
      </c>
      <c r="O99" s="707"/>
      <c r="P99" s="709"/>
      <c r="Q99" s="710"/>
      <c r="R99" s="720"/>
      <c r="S99" s="720"/>
      <c r="T99" s="712">
        <f t="shared" si="16"/>
        <v>0</v>
      </c>
      <c r="U99" s="707">
        <f t="shared" si="17"/>
        <v>0</v>
      </c>
      <c r="V99" s="713"/>
      <c r="W99" s="709"/>
      <c r="X99" s="707"/>
      <c r="Y99" s="707"/>
      <c r="Z99" s="707"/>
      <c r="AA99" s="752"/>
      <c r="AB99" s="713"/>
      <c r="AC99" s="709">
        <f t="shared" si="18"/>
        <v>0</v>
      </c>
      <c r="AD99" s="748"/>
      <c r="AE99" s="714"/>
      <c r="AF99" s="715"/>
      <c r="AG99" s="272"/>
      <c r="AH99" s="273"/>
      <c r="AI99" s="274"/>
      <c r="AJ99" s="274"/>
      <c r="AK99" s="291"/>
      <c r="AL99" s="282"/>
      <c r="AM99" s="59"/>
      <c r="AN99" s="59"/>
      <c r="AO99" s="62"/>
      <c r="AP99" s="62"/>
      <c r="AQ99" s="62"/>
      <c r="AR99" s="62"/>
      <c r="AS99" s="62"/>
      <c r="AT99" s="62"/>
      <c r="AU99" s="62"/>
      <c r="AV99" s="62"/>
      <c r="AW99" s="62"/>
      <c r="AX99" s="62"/>
    </row>
    <row r="100" spans="1:83" s="218" customFormat="1" ht="20" x14ac:dyDescent="0.25">
      <c r="A100" s="782" t="s">
        <v>1051</v>
      </c>
      <c r="B100" s="705" t="s">
        <v>541</v>
      </c>
      <c r="C100" s="706"/>
      <c r="D100" s="707"/>
      <c r="E100" s="708"/>
      <c r="F100" s="707"/>
      <c r="G100" s="708"/>
      <c r="H100" s="707"/>
      <c r="I100" s="708"/>
      <c r="J100" s="707"/>
      <c r="K100" s="708"/>
      <c r="L100" s="707">
        <f t="shared" si="11"/>
        <v>0</v>
      </c>
      <c r="M100" s="707">
        <f t="shared" si="12"/>
        <v>0</v>
      </c>
      <c r="N100" s="755">
        <f t="shared" si="13"/>
        <v>0</v>
      </c>
      <c r="O100" s="707"/>
      <c r="P100" s="709"/>
      <c r="Q100" s="717">
        <v>2500</v>
      </c>
      <c r="R100" s="720">
        <v>250</v>
      </c>
      <c r="S100" s="720">
        <v>250</v>
      </c>
      <c r="T100" s="712">
        <f t="shared" si="16"/>
        <v>250</v>
      </c>
      <c r="U100" s="707" t="str">
        <f t="shared" si="17"/>
        <v>(c)</v>
      </c>
      <c r="V100" s="713"/>
      <c r="W100" s="709"/>
      <c r="X100" s="707"/>
      <c r="Y100" s="707"/>
      <c r="Z100" s="707"/>
      <c r="AA100" s="752"/>
      <c r="AB100" s="713"/>
      <c r="AC100" s="709">
        <f t="shared" si="18"/>
        <v>250</v>
      </c>
      <c r="AD100" s="748" t="s">
        <v>474</v>
      </c>
      <c r="AE100" s="714" t="s">
        <v>725</v>
      </c>
      <c r="AF100" s="715"/>
      <c r="AG100" s="272" t="s">
        <v>673</v>
      </c>
      <c r="AH100" s="273" t="s">
        <v>630</v>
      </c>
      <c r="AI100" s="274" t="s">
        <v>549</v>
      </c>
      <c r="AJ100" s="274">
        <v>96</v>
      </c>
      <c r="AK100" s="291" t="s">
        <v>689</v>
      </c>
      <c r="AL100" s="282"/>
      <c r="AM100" s="59">
        <v>3217</v>
      </c>
      <c r="AN100" s="250">
        <v>37337</v>
      </c>
      <c r="AO100" s="62" t="s">
        <v>690</v>
      </c>
      <c r="AP100" s="62"/>
      <c r="AQ100" s="62"/>
      <c r="AR100" s="62"/>
      <c r="AS100" s="62"/>
      <c r="AT100" s="62"/>
      <c r="AU100" s="62"/>
      <c r="AV100" s="62"/>
      <c r="AW100" s="62"/>
      <c r="AX100" s="62"/>
    </row>
    <row r="101" spans="1:83" s="218" customFormat="1" ht="20" x14ac:dyDescent="0.25">
      <c r="A101" s="783" t="s">
        <v>1052</v>
      </c>
      <c r="B101" s="705" t="s">
        <v>541</v>
      </c>
      <c r="C101" s="706"/>
      <c r="D101" s="707"/>
      <c r="E101" s="708"/>
      <c r="F101" s="707"/>
      <c r="G101" s="708"/>
      <c r="H101" s="707"/>
      <c r="I101" s="708"/>
      <c r="J101" s="707"/>
      <c r="K101" s="708"/>
      <c r="L101" s="707">
        <f t="shared" si="11"/>
        <v>0</v>
      </c>
      <c r="M101" s="707">
        <f t="shared" si="12"/>
        <v>0</v>
      </c>
      <c r="N101" s="755">
        <f t="shared" si="13"/>
        <v>0</v>
      </c>
      <c r="O101" s="707"/>
      <c r="P101" s="709"/>
      <c r="Q101" s="717">
        <v>18000</v>
      </c>
      <c r="R101" s="718">
        <v>1800</v>
      </c>
      <c r="S101" s="718">
        <v>1800</v>
      </c>
      <c r="T101" s="712">
        <f t="shared" si="16"/>
        <v>1800</v>
      </c>
      <c r="U101" s="707" t="str">
        <f t="shared" si="17"/>
        <v>(c)</v>
      </c>
      <c r="V101" s="713"/>
      <c r="W101" s="709"/>
      <c r="X101" s="707"/>
      <c r="Y101" s="707"/>
      <c r="Z101" s="707"/>
      <c r="AA101" s="752"/>
      <c r="AB101" s="713"/>
      <c r="AC101" s="709">
        <f t="shared" si="18"/>
        <v>1800</v>
      </c>
      <c r="AD101" s="748" t="s">
        <v>474</v>
      </c>
      <c r="AE101" s="714" t="s">
        <v>726</v>
      </c>
      <c r="AF101" s="715"/>
      <c r="AG101" s="272" t="s">
        <v>547</v>
      </c>
      <c r="AH101" s="273" t="s">
        <v>548</v>
      </c>
      <c r="AI101" s="274" t="s">
        <v>549</v>
      </c>
      <c r="AJ101" s="274">
        <v>48</v>
      </c>
      <c r="AK101" s="291" t="s">
        <v>561</v>
      </c>
      <c r="AL101" s="282"/>
      <c r="AM101" s="59">
        <v>5184</v>
      </c>
      <c r="AN101" s="250">
        <v>37337</v>
      </c>
      <c r="AO101" s="62" t="s">
        <v>727</v>
      </c>
      <c r="AP101" s="62"/>
      <c r="AQ101" s="62"/>
      <c r="AR101" s="62"/>
      <c r="AS101" s="62"/>
      <c r="AT101" s="62"/>
      <c r="AU101" s="62"/>
      <c r="AV101" s="62"/>
      <c r="AW101" s="62"/>
      <c r="AX101" s="62"/>
    </row>
    <row r="102" spans="1:83" s="218" customFormat="1" ht="20" x14ac:dyDescent="0.25">
      <c r="A102" s="704" t="s">
        <v>1053</v>
      </c>
      <c r="B102" s="705" t="s">
        <v>541</v>
      </c>
      <c r="C102" s="706"/>
      <c r="D102" s="707"/>
      <c r="E102" s="708"/>
      <c r="F102" s="707"/>
      <c r="G102" s="708"/>
      <c r="H102" s="707"/>
      <c r="I102" s="708"/>
      <c r="J102" s="707"/>
      <c r="K102" s="708"/>
      <c r="L102" s="707">
        <f t="shared" si="11"/>
        <v>0</v>
      </c>
      <c r="M102" s="707">
        <f t="shared" si="12"/>
        <v>0</v>
      </c>
      <c r="N102" s="755">
        <f t="shared" si="13"/>
        <v>0</v>
      </c>
      <c r="O102" s="707"/>
      <c r="P102" s="709"/>
      <c r="Q102" s="717">
        <v>18000</v>
      </c>
      <c r="R102" s="718">
        <v>1800</v>
      </c>
      <c r="S102" s="718">
        <v>1800</v>
      </c>
      <c r="T102" s="712">
        <f t="shared" si="16"/>
        <v>1800</v>
      </c>
      <c r="U102" s="707" t="str">
        <f t="shared" si="17"/>
        <v>(c)</v>
      </c>
      <c r="V102" s="713"/>
      <c r="W102" s="709"/>
      <c r="X102" s="707"/>
      <c r="Y102" s="707"/>
      <c r="Z102" s="707"/>
      <c r="AA102" s="752"/>
      <c r="AB102" s="713"/>
      <c r="AC102" s="709">
        <f t="shared" si="18"/>
        <v>1800</v>
      </c>
      <c r="AD102" s="748" t="s">
        <v>474</v>
      </c>
      <c r="AE102" s="714" t="s">
        <v>726</v>
      </c>
      <c r="AF102" s="715"/>
      <c r="AG102" s="272" t="s">
        <v>547</v>
      </c>
      <c r="AH102" s="273" t="s">
        <v>548</v>
      </c>
      <c r="AI102" s="274" t="s">
        <v>549</v>
      </c>
      <c r="AJ102" s="274">
        <v>48</v>
      </c>
      <c r="AK102" s="291" t="s">
        <v>561</v>
      </c>
      <c r="AL102" s="282"/>
      <c r="AM102" s="59">
        <v>5184</v>
      </c>
      <c r="AN102" s="250">
        <v>37337</v>
      </c>
      <c r="AO102" s="62" t="s">
        <v>727</v>
      </c>
      <c r="AP102" s="62"/>
      <c r="AQ102" s="62"/>
      <c r="AR102" s="62"/>
      <c r="AS102" s="62"/>
      <c r="AT102" s="62"/>
      <c r="AU102" s="62"/>
      <c r="AV102" s="62"/>
      <c r="AW102" s="62"/>
      <c r="AX102" s="62"/>
    </row>
    <row r="103" spans="1:83" s="218" customFormat="1" ht="20" x14ac:dyDescent="0.25">
      <c r="A103" s="704" t="s">
        <v>1054</v>
      </c>
      <c r="B103" s="705" t="s">
        <v>541</v>
      </c>
      <c r="C103" s="706"/>
      <c r="D103" s="707"/>
      <c r="E103" s="708"/>
      <c r="F103" s="707"/>
      <c r="G103" s="708"/>
      <c r="H103" s="707"/>
      <c r="I103" s="708"/>
      <c r="J103" s="707"/>
      <c r="K103" s="708"/>
      <c r="L103" s="707">
        <f t="shared" si="11"/>
        <v>0</v>
      </c>
      <c r="M103" s="707">
        <f t="shared" si="12"/>
        <v>0</v>
      </c>
      <c r="N103" s="755">
        <f t="shared" si="13"/>
        <v>0</v>
      </c>
      <c r="O103" s="707"/>
      <c r="P103" s="709"/>
      <c r="Q103" s="717">
        <v>21000</v>
      </c>
      <c r="R103" s="718">
        <v>2100</v>
      </c>
      <c r="S103" s="718">
        <v>2100</v>
      </c>
      <c r="T103" s="712">
        <f t="shared" si="16"/>
        <v>2100</v>
      </c>
      <c r="U103" s="707" t="str">
        <f t="shared" si="17"/>
        <v>(c)</v>
      </c>
      <c r="V103" s="713"/>
      <c r="W103" s="709"/>
      <c r="X103" s="707"/>
      <c r="Y103" s="707"/>
      <c r="Z103" s="707"/>
      <c r="AA103" s="752"/>
      <c r="AB103" s="713"/>
      <c r="AC103" s="709">
        <f t="shared" si="18"/>
        <v>2100</v>
      </c>
      <c r="AD103" s="748" t="s">
        <v>479</v>
      </c>
      <c r="AE103" s="714" t="s">
        <v>728</v>
      </c>
      <c r="AF103" s="715"/>
      <c r="AG103" s="272" t="s">
        <v>595</v>
      </c>
      <c r="AH103" s="273" t="s">
        <v>548</v>
      </c>
      <c r="AI103" s="274" t="s">
        <v>597</v>
      </c>
      <c r="AJ103" s="274">
        <v>48</v>
      </c>
      <c r="AK103" s="291" t="s">
        <v>561</v>
      </c>
      <c r="AL103" s="282"/>
      <c r="AM103" s="59">
        <v>12730</v>
      </c>
      <c r="AN103" s="250">
        <v>37355</v>
      </c>
      <c r="AO103" s="62" t="s">
        <v>729</v>
      </c>
      <c r="AP103" s="62"/>
      <c r="AQ103" s="62"/>
      <c r="AR103" s="62"/>
      <c r="AS103" s="62"/>
      <c r="AT103" s="62"/>
      <c r="AU103" s="62"/>
      <c r="AV103" s="62"/>
      <c r="AW103" s="62"/>
      <c r="AX103" s="62"/>
    </row>
    <row r="104" spans="1:83" s="218" customFormat="1" ht="40" x14ac:dyDescent="0.25">
      <c r="A104" s="782" t="s">
        <v>1055</v>
      </c>
      <c r="B104" s="705" t="s">
        <v>541</v>
      </c>
      <c r="C104" s="706"/>
      <c r="D104" s="707"/>
      <c r="E104" s="708"/>
      <c r="F104" s="707"/>
      <c r="G104" s="708"/>
      <c r="H104" s="707"/>
      <c r="I104" s="708"/>
      <c r="J104" s="707"/>
      <c r="K104" s="708"/>
      <c r="L104" s="707">
        <f t="shared" si="11"/>
        <v>0</v>
      </c>
      <c r="M104" s="707">
        <f t="shared" si="12"/>
        <v>0</v>
      </c>
      <c r="N104" s="755">
        <f t="shared" si="13"/>
        <v>0</v>
      </c>
      <c r="O104" s="707"/>
      <c r="P104" s="709"/>
      <c r="Q104" s="717"/>
      <c r="R104" s="720">
        <f>Q104/10</f>
        <v>0</v>
      </c>
      <c r="S104" s="720"/>
      <c r="T104" s="712">
        <f t="shared" si="16"/>
        <v>0</v>
      </c>
      <c r="U104" s="707">
        <f t="shared" si="17"/>
        <v>0</v>
      </c>
      <c r="V104" s="713"/>
      <c r="W104" s="709"/>
      <c r="X104" s="707">
        <v>5400</v>
      </c>
      <c r="Y104" s="707">
        <v>540</v>
      </c>
      <c r="Z104" s="707">
        <v>540</v>
      </c>
      <c r="AA104" s="752" t="s">
        <v>744</v>
      </c>
      <c r="AB104" s="713"/>
      <c r="AC104" s="709">
        <f t="shared" si="18"/>
        <v>540</v>
      </c>
      <c r="AD104" s="748" t="s">
        <v>474</v>
      </c>
      <c r="AE104" s="714" t="s">
        <v>746</v>
      </c>
      <c r="AF104" s="715"/>
      <c r="AG104" s="272" t="s">
        <v>745</v>
      </c>
      <c r="AH104" s="273" t="s">
        <v>747</v>
      </c>
      <c r="AI104" s="274" t="s">
        <v>549</v>
      </c>
      <c r="AJ104" s="274">
        <v>96</v>
      </c>
      <c r="AK104" s="291"/>
      <c r="AL104" s="282"/>
      <c r="AM104" s="59"/>
      <c r="AN104" s="250"/>
      <c r="AO104" s="62" t="s">
        <v>748</v>
      </c>
      <c r="AP104" s="62"/>
      <c r="AQ104" s="62"/>
      <c r="AR104" s="62"/>
      <c r="AS104" s="62"/>
      <c r="AT104" s="62"/>
      <c r="AU104" s="62"/>
      <c r="AV104" s="62"/>
      <c r="AW104" s="62"/>
      <c r="AX104" s="62"/>
    </row>
    <row r="105" spans="1:83" s="218" customFormat="1" ht="20" x14ac:dyDescent="0.25">
      <c r="A105" s="704" t="s">
        <v>1056</v>
      </c>
      <c r="B105" s="705" t="s">
        <v>541</v>
      </c>
      <c r="C105" s="706"/>
      <c r="D105" s="707"/>
      <c r="E105" s="708"/>
      <c r="F105" s="707"/>
      <c r="G105" s="708"/>
      <c r="H105" s="707"/>
      <c r="I105" s="708"/>
      <c r="J105" s="707"/>
      <c r="K105" s="708"/>
      <c r="L105" s="707">
        <f t="shared" si="11"/>
        <v>0</v>
      </c>
      <c r="M105" s="707">
        <f t="shared" si="12"/>
        <v>0</v>
      </c>
      <c r="N105" s="755">
        <f t="shared" si="13"/>
        <v>0</v>
      </c>
      <c r="O105" s="707"/>
      <c r="P105" s="709"/>
      <c r="Q105" s="710"/>
      <c r="R105" s="720"/>
      <c r="S105" s="720"/>
      <c r="T105" s="712">
        <f t="shared" si="16"/>
        <v>0</v>
      </c>
      <c r="U105" s="707">
        <f t="shared" si="17"/>
        <v>0</v>
      </c>
      <c r="V105" s="713"/>
      <c r="W105" s="709"/>
      <c r="X105" s="707"/>
      <c r="Y105" s="707"/>
      <c r="Z105" s="707"/>
      <c r="AA105" s="752"/>
      <c r="AB105" s="713"/>
      <c r="AC105" s="709">
        <v>5</v>
      </c>
      <c r="AD105" s="748" t="s">
        <v>749</v>
      </c>
      <c r="AE105" s="714" t="s">
        <v>732</v>
      </c>
      <c r="AF105" s="715"/>
      <c r="AG105" s="272" t="s">
        <v>541</v>
      </c>
      <c r="AH105" s="273" t="s">
        <v>541</v>
      </c>
      <c r="AI105" s="274" t="s">
        <v>541</v>
      </c>
      <c r="AJ105" s="274" t="s">
        <v>541</v>
      </c>
      <c r="AK105" s="291" t="s">
        <v>541</v>
      </c>
      <c r="AL105" s="282"/>
      <c r="AM105" s="59" t="s">
        <v>541</v>
      </c>
      <c r="AN105" s="59" t="s">
        <v>541</v>
      </c>
      <c r="AO105" s="62" t="s">
        <v>750</v>
      </c>
      <c r="AP105" s="62"/>
      <c r="AQ105" s="62"/>
      <c r="AR105" s="62"/>
      <c r="AS105" s="62"/>
      <c r="AT105" s="62"/>
      <c r="AU105" s="62"/>
      <c r="AV105" s="62"/>
      <c r="AW105" s="62"/>
      <c r="AX105" s="62"/>
    </row>
    <row r="106" spans="1:83" s="218" customFormat="1" ht="10" x14ac:dyDescent="0.25">
      <c r="A106" s="704" t="s">
        <v>239</v>
      </c>
      <c r="B106" s="705" t="s">
        <v>846</v>
      </c>
      <c r="C106" s="706"/>
      <c r="D106" s="707"/>
      <c r="E106" s="708"/>
      <c r="F106" s="707"/>
      <c r="G106" s="708"/>
      <c r="H106" s="707"/>
      <c r="I106" s="708"/>
      <c r="J106" s="707"/>
      <c r="K106" s="708"/>
      <c r="L106" s="707">
        <f t="shared" si="11"/>
        <v>0</v>
      </c>
      <c r="M106" s="707">
        <f t="shared" si="12"/>
        <v>0</v>
      </c>
      <c r="N106" s="755">
        <f t="shared" si="13"/>
        <v>0</v>
      </c>
      <c r="O106" s="707"/>
      <c r="P106" s="709"/>
      <c r="Q106" s="710"/>
      <c r="R106" s="720"/>
      <c r="S106" s="720"/>
      <c r="T106" s="712">
        <f t="shared" si="16"/>
        <v>0</v>
      </c>
      <c r="U106" s="707">
        <f t="shared" si="17"/>
        <v>0</v>
      </c>
      <c r="V106" s="713"/>
      <c r="W106" s="709">
        <v>38</v>
      </c>
      <c r="X106" s="707"/>
      <c r="Y106" s="707"/>
      <c r="Z106" s="707">
        <v>38</v>
      </c>
      <c r="AA106" s="752"/>
      <c r="AB106" s="713"/>
      <c r="AC106" s="709">
        <f t="shared" ref="AC106:AC125" si="20">IF(M106&lt;&gt;0,M106,IF(S106&lt;&gt;0,S106,IF(Z106&lt;&gt;0,Z106,)))</f>
        <v>38</v>
      </c>
      <c r="AD106" s="748" t="s">
        <v>473</v>
      </c>
      <c r="AE106" s="714" t="s">
        <v>722</v>
      </c>
      <c r="AF106" s="715"/>
      <c r="AG106" s="272" t="s">
        <v>723</v>
      </c>
      <c r="AH106" s="273" t="s">
        <v>672</v>
      </c>
      <c r="AI106" s="274" t="s">
        <v>631</v>
      </c>
      <c r="AJ106" s="274">
        <v>648</v>
      </c>
      <c r="AK106" s="291" t="s">
        <v>550</v>
      </c>
      <c r="AL106" s="282"/>
      <c r="AM106" s="59" t="s">
        <v>662</v>
      </c>
      <c r="AN106" s="59" t="s">
        <v>733</v>
      </c>
      <c r="AO106" s="62" t="s">
        <v>731</v>
      </c>
      <c r="AP106" s="62"/>
      <c r="AQ106" s="62"/>
      <c r="AR106" s="62"/>
      <c r="AS106" s="62"/>
      <c r="AT106" s="62"/>
      <c r="AU106" s="62"/>
      <c r="AV106" s="62"/>
      <c r="AW106" s="62"/>
      <c r="AX106" s="62"/>
    </row>
    <row r="107" spans="1:83" s="218" customFormat="1" ht="10" x14ac:dyDescent="0.25">
      <c r="A107" s="704" t="s">
        <v>240</v>
      </c>
      <c r="B107" s="705" t="s">
        <v>847</v>
      </c>
      <c r="C107" s="706"/>
      <c r="D107" s="707"/>
      <c r="E107" s="708"/>
      <c r="F107" s="707"/>
      <c r="G107" s="708"/>
      <c r="H107" s="707"/>
      <c r="I107" s="708"/>
      <c r="J107" s="707"/>
      <c r="K107" s="708"/>
      <c r="L107" s="707">
        <f t="shared" si="11"/>
        <v>0</v>
      </c>
      <c r="M107" s="707">
        <f t="shared" si="12"/>
        <v>0</v>
      </c>
      <c r="N107" s="755">
        <f t="shared" si="13"/>
        <v>0</v>
      </c>
      <c r="O107" s="707"/>
      <c r="P107" s="709">
        <v>62</v>
      </c>
      <c r="Q107" s="710"/>
      <c r="R107" s="720"/>
      <c r="S107" s="720">
        <v>62</v>
      </c>
      <c r="T107" s="712">
        <f t="shared" si="16"/>
        <v>62</v>
      </c>
      <c r="U107" s="707">
        <f t="shared" si="17"/>
        <v>0</v>
      </c>
      <c r="V107" s="713"/>
      <c r="W107" s="709"/>
      <c r="X107" s="707"/>
      <c r="Y107" s="707"/>
      <c r="Z107" s="707"/>
      <c r="AA107" s="752"/>
      <c r="AB107" s="713"/>
      <c r="AC107" s="709">
        <f t="shared" si="20"/>
        <v>62</v>
      </c>
      <c r="AD107" s="748" t="s">
        <v>473</v>
      </c>
      <c r="AE107" s="714" t="s">
        <v>667</v>
      </c>
      <c r="AF107" s="715"/>
      <c r="AG107" s="272" t="s">
        <v>668</v>
      </c>
      <c r="AH107" s="273" t="s">
        <v>669</v>
      </c>
      <c r="AI107" s="274" t="s">
        <v>735</v>
      </c>
      <c r="AJ107" s="274">
        <v>192</v>
      </c>
      <c r="AK107" s="291" t="s">
        <v>550</v>
      </c>
      <c r="AL107" s="282"/>
      <c r="AM107" s="59">
        <v>6187</v>
      </c>
      <c r="AN107" s="250">
        <v>36900</v>
      </c>
      <c r="AO107" s="62" t="s">
        <v>736</v>
      </c>
      <c r="AP107" s="62"/>
      <c r="AQ107" s="62"/>
      <c r="AR107" s="62"/>
      <c r="AS107" s="62"/>
      <c r="AT107" s="62"/>
      <c r="AU107" s="62"/>
      <c r="AV107" s="62"/>
      <c r="AW107" s="62"/>
      <c r="AX107" s="62"/>
      <c r="CE107" s="218" t="s">
        <v>734</v>
      </c>
    </row>
    <row r="108" spans="1:83" s="218" customFormat="1" ht="20" x14ac:dyDescent="0.25">
      <c r="A108" s="704" t="s">
        <v>241</v>
      </c>
      <c r="B108" s="705" t="s">
        <v>848</v>
      </c>
      <c r="C108" s="706"/>
      <c r="D108" s="707"/>
      <c r="E108" s="708"/>
      <c r="F108" s="707">
        <v>1.4E-2</v>
      </c>
      <c r="G108" s="708"/>
      <c r="H108" s="707"/>
      <c r="I108" s="708"/>
      <c r="J108" s="707">
        <v>0.03</v>
      </c>
      <c r="K108" s="708"/>
      <c r="L108" s="707">
        <f t="shared" si="11"/>
        <v>1.4E-2</v>
      </c>
      <c r="M108" s="707">
        <f t="shared" si="12"/>
        <v>1.4E-2</v>
      </c>
      <c r="N108" s="755" t="str">
        <f t="shared" si="13"/>
        <v>CCC(FW)</v>
      </c>
      <c r="O108" s="707"/>
      <c r="P108" s="709"/>
      <c r="Q108" s="710"/>
      <c r="R108" s="720"/>
      <c r="S108" s="720"/>
      <c r="T108" s="712">
        <f t="shared" si="16"/>
        <v>0</v>
      </c>
      <c r="U108" s="707">
        <f t="shared" si="17"/>
        <v>0</v>
      </c>
      <c r="V108" s="713"/>
      <c r="W108" s="709"/>
      <c r="X108" s="707"/>
      <c r="Y108" s="707"/>
      <c r="Z108" s="707"/>
      <c r="AA108" s="752"/>
      <c r="AB108" s="713"/>
      <c r="AC108" s="709">
        <f t="shared" si="20"/>
        <v>1.4E-2</v>
      </c>
      <c r="AD108" s="748" t="s">
        <v>738</v>
      </c>
      <c r="AE108" s="714" t="s">
        <v>118</v>
      </c>
      <c r="AF108" s="715"/>
      <c r="AG108" s="272" t="s">
        <v>745</v>
      </c>
      <c r="AH108" s="273" t="s">
        <v>541</v>
      </c>
      <c r="AI108" s="274" t="s">
        <v>541</v>
      </c>
      <c r="AJ108" s="274" t="s">
        <v>541</v>
      </c>
      <c r="AK108" s="291" t="s">
        <v>541</v>
      </c>
      <c r="AL108" s="282"/>
      <c r="AM108" s="59" t="s">
        <v>541</v>
      </c>
      <c r="AN108" s="250" t="s">
        <v>541</v>
      </c>
      <c r="AO108" s="62" t="s">
        <v>543</v>
      </c>
      <c r="AP108" s="62"/>
      <c r="AQ108" s="62"/>
      <c r="AR108" s="62"/>
      <c r="AS108" s="62"/>
      <c r="AT108" s="62"/>
      <c r="AU108" s="62"/>
      <c r="AV108" s="62"/>
      <c r="AW108" s="62"/>
      <c r="AX108" s="62"/>
      <c r="CE108" s="218" t="s">
        <v>737</v>
      </c>
    </row>
    <row r="109" spans="1:83" s="218" customFormat="1" ht="10" x14ac:dyDescent="0.25">
      <c r="A109" s="704" t="s">
        <v>242</v>
      </c>
      <c r="B109" s="705" t="s">
        <v>849</v>
      </c>
      <c r="C109" s="706"/>
      <c r="D109" s="707" t="s">
        <v>490</v>
      </c>
      <c r="E109" s="708"/>
      <c r="F109" s="707"/>
      <c r="G109" s="708"/>
      <c r="H109" s="707"/>
      <c r="I109" s="708"/>
      <c r="J109" s="707"/>
      <c r="K109" s="708"/>
      <c r="L109" s="707">
        <f t="shared" si="11"/>
        <v>0</v>
      </c>
      <c r="M109" s="707">
        <f t="shared" si="12"/>
        <v>0</v>
      </c>
      <c r="N109" s="755">
        <f t="shared" si="13"/>
        <v>0</v>
      </c>
      <c r="O109" s="707"/>
      <c r="P109" s="709"/>
      <c r="Q109" s="710">
        <v>0.89</v>
      </c>
      <c r="R109" s="720">
        <v>8.8999999999999996E-2</v>
      </c>
      <c r="S109" s="720">
        <v>8.8999999999999996E-2</v>
      </c>
      <c r="T109" s="712">
        <f t="shared" si="16"/>
        <v>8.8999999999999996E-2</v>
      </c>
      <c r="U109" s="707" t="str">
        <f t="shared" si="17"/>
        <v>(c)</v>
      </c>
      <c r="V109" s="713"/>
      <c r="W109" s="709"/>
      <c r="X109" s="707"/>
      <c r="Y109" s="707"/>
      <c r="Z109" s="707"/>
      <c r="AA109" s="752"/>
      <c r="AB109" s="713"/>
      <c r="AC109" s="709">
        <f t="shared" si="20"/>
        <v>8.8999999999999996E-2</v>
      </c>
      <c r="AD109" s="748" t="s">
        <v>474</v>
      </c>
      <c r="AE109" s="714" t="s">
        <v>515</v>
      </c>
      <c r="AF109" s="715"/>
      <c r="AG109" s="272" t="s">
        <v>739</v>
      </c>
      <c r="AH109" s="273" t="s">
        <v>740</v>
      </c>
      <c r="AI109" s="274" t="s">
        <v>549</v>
      </c>
      <c r="AJ109" s="274">
        <v>48</v>
      </c>
      <c r="AK109" s="291" t="s">
        <v>561</v>
      </c>
      <c r="AL109" s="282"/>
      <c r="AM109" s="59">
        <v>18274</v>
      </c>
      <c r="AN109" s="250">
        <v>36899</v>
      </c>
      <c r="AO109" s="62" t="s">
        <v>741</v>
      </c>
      <c r="AP109" s="62"/>
      <c r="AQ109" s="62"/>
      <c r="AR109" s="62"/>
      <c r="AS109" s="62"/>
      <c r="AT109" s="62"/>
      <c r="AU109" s="62"/>
      <c r="AV109" s="62"/>
      <c r="AW109" s="62"/>
      <c r="AX109" s="62"/>
    </row>
    <row r="110" spans="1:83" s="218" customFormat="1" ht="10" x14ac:dyDescent="0.25">
      <c r="A110" s="704" t="s">
        <v>433</v>
      </c>
      <c r="B110" s="705" t="s">
        <v>850</v>
      </c>
      <c r="C110" s="706"/>
      <c r="D110" s="707"/>
      <c r="E110" s="708"/>
      <c r="F110" s="707"/>
      <c r="G110" s="708"/>
      <c r="H110" s="707"/>
      <c r="I110" s="708"/>
      <c r="J110" s="707"/>
      <c r="K110" s="708"/>
      <c r="L110" s="707">
        <f t="shared" si="11"/>
        <v>0</v>
      </c>
      <c r="M110" s="707">
        <f t="shared" si="12"/>
        <v>0</v>
      </c>
      <c r="N110" s="755">
        <f t="shared" si="13"/>
        <v>0</v>
      </c>
      <c r="O110" s="707"/>
      <c r="P110" s="719">
        <v>2400</v>
      </c>
      <c r="Q110" s="710"/>
      <c r="R110" s="720"/>
      <c r="S110" s="718">
        <v>2400</v>
      </c>
      <c r="T110" s="712">
        <f t="shared" si="16"/>
        <v>2400</v>
      </c>
      <c r="U110" s="707">
        <f t="shared" si="17"/>
        <v>0</v>
      </c>
      <c r="V110" s="713"/>
      <c r="W110" s="709"/>
      <c r="X110" s="707"/>
      <c r="Y110" s="707"/>
      <c r="Z110" s="707"/>
      <c r="AA110" s="752"/>
      <c r="AB110" s="713"/>
      <c r="AC110" s="709">
        <f t="shared" si="20"/>
        <v>2400</v>
      </c>
      <c r="AD110" s="748" t="s">
        <v>473</v>
      </c>
      <c r="AE110" s="714" t="s">
        <v>516</v>
      </c>
      <c r="AF110" s="715"/>
      <c r="AG110" s="272" t="s">
        <v>673</v>
      </c>
      <c r="AH110" s="273" t="s">
        <v>630</v>
      </c>
      <c r="AI110" s="274" t="s">
        <v>678</v>
      </c>
      <c r="AJ110" s="274">
        <v>672</v>
      </c>
      <c r="AK110" s="291" t="s">
        <v>550</v>
      </c>
      <c r="AL110" s="282"/>
      <c r="AM110" s="59">
        <v>17053</v>
      </c>
      <c r="AN110" s="250">
        <v>37159</v>
      </c>
      <c r="AO110" s="62" t="s">
        <v>742</v>
      </c>
      <c r="AP110" s="62"/>
      <c r="AQ110" s="62"/>
      <c r="AR110" s="62"/>
      <c r="AS110" s="62"/>
      <c r="AT110" s="62"/>
      <c r="AU110" s="62"/>
      <c r="AV110" s="62"/>
      <c r="AW110" s="62"/>
      <c r="AX110" s="62"/>
    </row>
    <row r="111" spans="1:83" s="218" customFormat="1" ht="10" x14ac:dyDescent="0.25">
      <c r="A111" s="704" t="s">
        <v>243</v>
      </c>
      <c r="B111" s="705" t="s">
        <v>851</v>
      </c>
      <c r="C111" s="706"/>
      <c r="D111" s="707"/>
      <c r="E111" s="708"/>
      <c r="F111" s="707">
        <v>1.5</v>
      </c>
      <c r="G111" s="708"/>
      <c r="H111" s="707"/>
      <c r="I111" s="708"/>
      <c r="J111" s="707"/>
      <c r="K111" s="708"/>
      <c r="L111" s="707">
        <v>1.5</v>
      </c>
      <c r="M111" s="707">
        <f t="shared" si="12"/>
        <v>1.5</v>
      </c>
      <c r="N111" s="755" t="str">
        <f t="shared" si="13"/>
        <v>CCC(FW)</v>
      </c>
      <c r="O111" s="707"/>
      <c r="P111" s="709"/>
      <c r="Q111" s="710"/>
      <c r="R111" s="720"/>
      <c r="S111" s="720"/>
      <c r="T111" s="712">
        <f t="shared" si="16"/>
        <v>0</v>
      </c>
      <c r="U111" s="707">
        <f t="shared" si="17"/>
        <v>0</v>
      </c>
      <c r="V111" s="713"/>
      <c r="W111" s="709"/>
      <c r="X111" s="707"/>
      <c r="Y111" s="707"/>
      <c r="Z111" s="707"/>
      <c r="AA111" s="752"/>
      <c r="AB111" s="713"/>
      <c r="AC111" s="709">
        <f t="shared" si="20"/>
        <v>1.5</v>
      </c>
      <c r="AD111" s="748" t="s">
        <v>517</v>
      </c>
      <c r="AE111" s="714" t="s">
        <v>118</v>
      </c>
      <c r="AF111" s="715"/>
      <c r="AG111" s="272" t="s">
        <v>541</v>
      </c>
      <c r="AH111" s="273" t="s">
        <v>541</v>
      </c>
      <c r="AI111" s="274"/>
      <c r="AJ111" s="274"/>
      <c r="AK111" s="291"/>
      <c r="AL111" s="282"/>
      <c r="AM111" s="59" t="s">
        <v>541</v>
      </c>
      <c r="AN111" s="59" t="s">
        <v>542</v>
      </c>
      <c r="AO111" s="62" t="s">
        <v>543</v>
      </c>
      <c r="AP111" s="62"/>
      <c r="AQ111" s="62"/>
      <c r="AR111" s="62"/>
      <c r="AS111" s="62"/>
      <c r="AT111" s="62"/>
      <c r="AU111" s="62"/>
      <c r="AV111" s="62"/>
      <c r="AW111" s="62"/>
      <c r="AX111" s="62"/>
    </row>
    <row r="112" spans="1:83" s="218" customFormat="1" ht="10" x14ac:dyDescent="0.25">
      <c r="A112" s="704" t="s">
        <v>244</v>
      </c>
      <c r="B112" s="705" t="s">
        <v>852</v>
      </c>
      <c r="C112" s="706"/>
      <c r="D112" s="707">
        <v>0.3</v>
      </c>
      <c r="E112" s="708" t="s">
        <v>511</v>
      </c>
      <c r="F112" s="707"/>
      <c r="G112" s="708"/>
      <c r="H112" s="707">
        <v>1.9</v>
      </c>
      <c r="I112" s="708"/>
      <c r="J112" s="707"/>
      <c r="K112" s="708"/>
      <c r="L112" s="707">
        <f t="shared" si="11"/>
        <v>0.3</v>
      </c>
      <c r="M112" s="707">
        <f t="shared" si="12"/>
        <v>0.03</v>
      </c>
      <c r="N112" s="755" t="str">
        <f t="shared" si="13"/>
        <v>CMC(FW)/10</v>
      </c>
      <c r="O112" s="707"/>
      <c r="P112" s="709"/>
      <c r="Q112" s="710"/>
      <c r="R112" s="720"/>
      <c r="S112" s="720"/>
      <c r="T112" s="712">
        <f t="shared" si="16"/>
        <v>0</v>
      </c>
      <c r="U112" s="707">
        <f t="shared" si="17"/>
        <v>0</v>
      </c>
      <c r="V112" s="713"/>
      <c r="W112" s="709"/>
      <c r="X112" s="707"/>
      <c r="Y112" s="707"/>
      <c r="Z112" s="707"/>
      <c r="AA112" s="752"/>
      <c r="AB112" s="713"/>
      <c r="AC112" s="709">
        <f t="shared" si="20"/>
        <v>0.03</v>
      </c>
      <c r="AD112" s="748" t="str">
        <f>IF(AC112=0,"No Data",IF(AC112=M112,N112,IF(AC112=Q112/10,"AQUIRE(ACUTE)/10",IF(AC112=P112,"AQUIRE(CHRONIC)",IF(AC112=W112,"Lowest Chronic","Tier II Chronic")))))</f>
        <v>CMC(FW)/10</v>
      </c>
      <c r="AE112" s="714" t="s">
        <v>118</v>
      </c>
      <c r="AF112" s="715"/>
      <c r="AG112" s="272" t="s">
        <v>541</v>
      </c>
      <c r="AH112" s="273" t="s">
        <v>541</v>
      </c>
      <c r="AI112" s="274"/>
      <c r="AJ112" s="274"/>
      <c r="AK112" s="291"/>
      <c r="AL112" s="282"/>
      <c r="AM112" s="59" t="s">
        <v>541</v>
      </c>
      <c r="AN112" s="59" t="s">
        <v>542</v>
      </c>
      <c r="AO112" s="62" t="s">
        <v>543</v>
      </c>
      <c r="AP112" s="62"/>
      <c r="AQ112" s="62"/>
      <c r="AR112" s="62"/>
      <c r="AS112" s="62"/>
      <c r="AT112" s="62"/>
      <c r="AU112" s="62"/>
      <c r="AV112" s="62"/>
      <c r="AW112" s="62"/>
      <c r="AX112" s="62"/>
    </row>
    <row r="113" spans="1:83" s="218" customFormat="1" ht="10" x14ac:dyDescent="0.25">
      <c r="A113" s="704" t="s">
        <v>245</v>
      </c>
      <c r="B113" s="705" t="s">
        <v>853</v>
      </c>
      <c r="C113" s="706"/>
      <c r="D113" s="707"/>
      <c r="E113" s="708"/>
      <c r="F113" s="707"/>
      <c r="G113" s="708"/>
      <c r="H113" s="707"/>
      <c r="I113" s="708"/>
      <c r="J113" s="707"/>
      <c r="K113" s="708"/>
      <c r="L113" s="707">
        <f t="shared" si="11"/>
        <v>0</v>
      </c>
      <c r="M113" s="707">
        <f t="shared" si="12"/>
        <v>0</v>
      </c>
      <c r="N113" s="755">
        <f t="shared" si="13"/>
        <v>0</v>
      </c>
      <c r="O113" s="707"/>
      <c r="P113" s="709"/>
      <c r="Q113" s="717">
        <v>2500</v>
      </c>
      <c r="R113" s="720">
        <v>250</v>
      </c>
      <c r="S113" s="720">
        <v>250</v>
      </c>
      <c r="T113" s="712">
        <f t="shared" si="16"/>
        <v>250</v>
      </c>
      <c r="U113" s="707" t="str">
        <f t="shared" si="17"/>
        <v>(c)</v>
      </c>
      <c r="V113" s="713"/>
      <c r="W113" s="709"/>
      <c r="X113" s="707"/>
      <c r="Y113" s="707"/>
      <c r="Z113" s="707"/>
      <c r="AA113" s="752"/>
      <c r="AB113" s="713"/>
      <c r="AC113" s="709">
        <f t="shared" si="20"/>
        <v>250</v>
      </c>
      <c r="AD113" s="748" t="s">
        <v>474</v>
      </c>
      <c r="AE113" s="714" t="s">
        <v>518</v>
      </c>
      <c r="AF113" s="715"/>
      <c r="AG113" s="272" t="s">
        <v>743</v>
      </c>
      <c r="AH113" s="273" t="s">
        <v>672</v>
      </c>
      <c r="AI113" s="274" t="s">
        <v>549</v>
      </c>
      <c r="AJ113" s="274">
        <v>24</v>
      </c>
      <c r="AK113" s="292">
        <v>36430</v>
      </c>
      <c r="AL113" s="284"/>
      <c r="AM113" s="59">
        <v>15923</v>
      </c>
      <c r="AN113" s="250">
        <v>36430</v>
      </c>
      <c r="AO113" s="62" t="s">
        <v>751</v>
      </c>
      <c r="AP113" s="62"/>
      <c r="AQ113" s="62"/>
      <c r="AR113" s="62"/>
      <c r="AS113" s="62"/>
      <c r="AT113" s="62"/>
      <c r="AU113" s="62"/>
      <c r="AV113" s="62"/>
      <c r="AW113" s="62"/>
      <c r="AX113" s="62"/>
    </row>
    <row r="114" spans="1:83" s="218" customFormat="1" ht="10" x14ac:dyDescent="0.25">
      <c r="A114" s="704" t="s">
        <v>320</v>
      </c>
      <c r="B114" s="705" t="s">
        <v>854</v>
      </c>
      <c r="C114" s="706"/>
      <c r="D114" s="707"/>
      <c r="E114" s="708"/>
      <c r="F114" s="707"/>
      <c r="G114" s="708"/>
      <c r="H114" s="707"/>
      <c r="I114" s="708"/>
      <c r="J114" s="707"/>
      <c r="K114" s="708"/>
      <c r="L114" s="707">
        <f t="shared" si="11"/>
        <v>0</v>
      </c>
      <c r="M114" s="707">
        <f t="shared" si="12"/>
        <v>0</v>
      </c>
      <c r="N114" s="755"/>
      <c r="O114" s="707"/>
      <c r="P114" s="709">
        <v>3.8000000000000002E-5</v>
      </c>
      <c r="Q114" s="710"/>
      <c r="R114" s="720"/>
      <c r="S114" s="720">
        <v>3.8000000000000002E-5</v>
      </c>
      <c r="T114" s="712">
        <f t="shared" si="16"/>
        <v>3.8000000000000002E-5</v>
      </c>
      <c r="U114" s="707"/>
      <c r="V114" s="713"/>
      <c r="W114" s="709"/>
      <c r="X114" s="707"/>
      <c r="Y114" s="707"/>
      <c r="Z114" s="707"/>
      <c r="AA114" s="752"/>
      <c r="AB114" s="713"/>
      <c r="AC114" s="709">
        <f t="shared" si="20"/>
        <v>3.8000000000000002E-5</v>
      </c>
      <c r="AD114" s="748" t="s">
        <v>519</v>
      </c>
      <c r="AE114" s="714" t="s">
        <v>520</v>
      </c>
      <c r="AF114" s="715"/>
      <c r="AG114" s="272" t="s">
        <v>723</v>
      </c>
      <c r="AH114" s="273" t="s">
        <v>672</v>
      </c>
      <c r="AI114" s="274" t="s">
        <v>549</v>
      </c>
      <c r="AJ114" s="279">
        <v>1344</v>
      </c>
      <c r="AK114" s="291" t="s">
        <v>550</v>
      </c>
      <c r="AL114" s="282"/>
      <c r="AM114" s="59">
        <v>2347</v>
      </c>
      <c r="AN114" s="250">
        <v>36517</v>
      </c>
      <c r="AO114" s="62" t="s">
        <v>752</v>
      </c>
      <c r="AP114" s="62"/>
      <c r="AQ114" s="62"/>
      <c r="AR114" s="62"/>
      <c r="AS114" s="62"/>
      <c r="AT114" s="62"/>
      <c r="AU114" s="62"/>
      <c r="AV114" s="62"/>
      <c r="AW114" s="62"/>
      <c r="AX114" s="62"/>
    </row>
    <row r="115" spans="1:83" s="218" customFormat="1" ht="10" x14ac:dyDescent="0.25">
      <c r="A115" s="704" t="s">
        <v>246</v>
      </c>
      <c r="B115" s="705" t="s">
        <v>855</v>
      </c>
      <c r="C115" s="706"/>
      <c r="D115" s="707"/>
      <c r="E115" s="708"/>
      <c r="F115" s="707"/>
      <c r="G115" s="708"/>
      <c r="H115" s="707"/>
      <c r="I115" s="708"/>
      <c r="J115" s="707"/>
      <c r="K115" s="708"/>
      <c r="L115" s="707">
        <f t="shared" si="11"/>
        <v>0</v>
      </c>
      <c r="M115" s="707">
        <f t="shared" si="12"/>
        <v>0</v>
      </c>
      <c r="N115" s="755">
        <f t="shared" si="13"/>
        <v>0</v>
      </c>
      <c r="O115" s="707"/>
      <c r="P115" s="709"/>
      <c r="Q115" s="717">
        <v>20000</v>
      </c>
      <c r="R115" s="718">
        <v>2000</v>
      </c>
      <c r="S115" s="718">
        <v>2000</v>
      </c>
      <c r="T115" s="712">
        <f t="shared" si="16"/>
        <v>2000</v>
      </c>
      <c r="U115" s="707" t="str">
        <f t="shared" ref="U115:U129" si="21">IF(T115=0,0,IF(T115=Q115/10,"(c)",0))</f>
        <v>(c)</v>
      </c>
      <c r="V115" s="713"/>
      <c r="W115" s="709"/>
      <c r="X115" s="707"/>
      <c r="Y115" s="707"/>
      <c r="Z115" s="707"/>
      <c r="AA115" s="752"/>
      <c r="AB115" s="713"/>
      <c r="AC115" s="709">
        <f t="shared" si="20"/>
        <v>2000</v>
      </c>
      <c r="AD115" s="748" t="s">
        <v>474</v>
      </c>
      <c r="AE115" s="714" t="s">
        <v>521</v>
      </c>
      <c r="AF115" s="715"/>
      <c r="AG115" s="272" t="s">
        <v>552</v>
      </c>
      <c r="AH115" s="273" t="s">
        <v>553</v>
      </c>
      <c r="AI115" s="274" t="s">
        <v>549</v>
      </c>
      <c r="AJ115" s="274">
        <v>96</v>
      </c>
      <c r="AK115" s="291" t="s">
        <v>561</v>
      </c>
      <c r="AL115" s="282"/>
      <c r="AM115" s="59">
        <v>5590</v>
      </c>
      <c r="AN115" s="250">
        <v>37166</v>
      </c>
      <c r="AO115" s="62" t="s">
        <v>753</v>
      </c>
      <c r="AP115" s="62"/>
      <c r="AQ115" s="62"/>
      <c r="AR115" s="62"/>
      <c r="AS115" s="62"/>
      <c r="AT115" s="62"/>
      <c r="AU115" s="62"/>
      <c r="AV115" s="62"/>
      <c r="AW115" s="62"/>
      <c r="AX115" s="62"/>
    </row>
    <row r="116" spans="1:83" s="218" customFormat="1" ht="10" x14ac:dyDescent="0.25">
      <c r="A116" s="704" t="s">
        <v>247</v>
      </c>
      <c r="B116" s="705" t="s">
        <v>856</v>
      </c>
      <c r="C116" s="706"/>
      <c r="D116" s="707"/>
      <c r="E116" s="708"/>
      <c r="F116" s="707"/>
      <c r="G116" s="708"/>
      <c r="H116" s="707"/>
      <c r="I116" s="708"/>
      <c r="J116" s="707"/>
      <c r="K116" s="708"/>
      <c r="L116" s="707">
        <f t="shared" si="11"/>
        <v>0</v>
      </c>
      <c r="M116" s="707">
        <f t="shared" si="12"/>
        <v>0</v>
      </c>
      <c r="N116" s="755">
        <f t="shared" si="13"/>
        <v>0</v>
      </c>
      <c r="O116" s="707"/>
      <c r="P116" s="719">
        <v>4000</v>
      </c>
      <c r="Q116" s="710"/>
      <c r="R116" s="720"/>
      <c r="S116" s="718">
        <v>4000</v>
      </c>
      <c r="T116" s="712">
        <f t="shared" si="16"/>
        <v>4000</v>
      </c>
      <c r="U116" s="707">
        <f t="shared" si="21"/>
        <v>0</v>
      </c>
      <c r="V116" s="713"/>
      <c r="W116" s="709"/>
      <c r="X116" s="707"/>
      <c r="Y116" s="707"/>
      <c r="Z116" s="707"/>
      <c r="AA116" s="752"/>
      <c r="AB116" s="713"/>
      <c r="AC116" s="709">
        <f t="shared" si="20"/>
        <v>4000</v>
      </c>
      <c r="AD116" s="748" t="s">
        <v>473</v>
      </c>
      <c r="AE116" s="727" t="s">
        <v>522</v>
      </c>
      <c r="AF116" s="728"/>
      <c r="AG116" s="272" t="s">
        <v>673</v>
      </c>
      <c r="AH116" s="273" t="s">
        <v>630</v>
      </c>
      <c r="AI116" s="274" t="s">
        <v>678</v>
      </c>
      <c r="AJ116" s="274">
        <v>768</v>
      </c>
      <c r="AK116" s="291" t="s">
        <v>550</v>
      </c>
      <c r="AL116" s="282"/>
      <c r="AM116" s="59">
        <v>4433</v>
      </c>
      <c r="AN116" s="250">
        <v>36544</v>
      </c>
      <c r="AO116" s="62" t="s">
        <v>754</v>
      </c>
      <c r="AP116" s="62"/>
      <c r="AQ116" s="62"/>
      <c r="AR116" s="62"/>
      <c r="AS116" s="62"/>
      <c r="AT116" s="62"/>
      <c r="AU116" s="62"/>
      <c r="AV116" s="62"/>
      <c r="AW116" s="62"/>
      <c r="AX116" s="62"/>
    </row>
    <row r="117" spans="1:83" s="218" customFormat="1" ht="10" x14ac:dyDescent="0.25">
      <c r="A117" s="704" t="s">
        <v>248</v>
      </c>
      <c r="B117" s="705" t="s">
        <v>857</v>
      </c>
      <c r="C117" s="706"/>
      <c r="D117" s="707"/>
      <c r="E117" s="708"/>
      <c r="F117" s="707"/>
      <c r="G117" s="708"/>
      <c r="H117" s="707"/>
      <c r="I117" s="708"/>
      <c r="J117" s="707"/>
      <c r="K117" s="708"/>
      <c r="L117" s="707">
        <f t="shared" si="11"/>
        <v>0</v>
      </c>
      <c r="M117" s="707">
        <f t="shared" si="12"/>
        <v>0</v>
      </c>
      <c r="N117" s="755">
        <f t="shared" si="13"/>
        <v>0</v>
      </c>
      <c r="O117" s="707"/>
      <c r="P117" s="719">
        <v>1110</v>
      </c>
      <c r="Q117" s="710"/>
      <c r="R117" s="720"/>
      <c r="S117" s="718">
        <v>1100</v>
      </c>
      <c r="T117" s="712">
        <f t="shared" si="16"/>
        <v>1110</v>
      </c>
      <c r="U117" s="707">
        <f t="shared" si="21"/>
        <v>0</v>
      </c>
      <c r="V117" s="713"/>
      <c r="W117" s="709"/>
      <c r="X117" s="707"/>
      <c r="Y117" s="707"/>
      <c r="Z117" s="707"/>
      <c r="AA117" s="752"/>
      <c r="AB117" s="713"/>
      <c r="AC117" s="709">
        <f t="shared" si="20"/>
        <v>1100</v>
      </c>
      <c r="AD117" s="748" t="s">
        <v>473</v>
      </c>
      <c r="AE117" s="714" t="s">
        <v>496</v>
      </c>
      <c r="AF117" s="715"/>
      <c r="AG117" s="275" t="s">
        <v>547</v>
      </c>
      <c r="AH117" s="276" t="s">
        <v>548</v>
      </c>
      <c r="AI117" s="274" t="s">
        <v>678</v>
      </c>
      <c r="AJ117" s="274">
        <v>768</v>
      </c>
      <c r="AK117" s="291" t="s">
        <v>550</v>
      </c>
      <c r="AL117" s="282"/>
      <c r="AM117" s="59">
        <v>4433</v>
      </c>
      <c r="AN117" s="250">
        <v>37166</v>
      </c>
      <c r="AO117" s="62" t="s">
        <v>644</v>
      </c>
      <c r="AP117" s="62"/>
      <c r="AQ117" s="62"/>
      <c r="AR117" s="62"/>
      <c r="AS117" s="62"/>
      <c r="AT117" s="62"/>
      <c r="AU117" s="62"/>
      <c r="AV117" s="62"/>
      <c r="AW117" s="62"/>
      <c r="AX117" s="62"/>
    </row>
    <row r="118" spans="1:83" s="218" customFormat="1" ht="10" x14ac:dyDescent="0.25">
      <c r="A118" s="704" t="s">
        <v>249</v>
      </c>
      <c r="B118" s="705" t="s">
        <v>858</v>
      </c>
      <c r="C118" s="706"/>
      <c r="D118" s="707"/>
      <c r="E118" s="708"/>
      <c r="F118" s="707"/>
      <c r="G118" s="708"/>
      <c r="H118" s="707"/>
      <c r="I118" s="708"/>
      <c r="J118" s="707"/>
      <c r="K118" s="708"/>
      <c r="L118" s="707">
        <f t="shared" si="11"/>
        <v>0</v>
      </c>
      <c r="M118" s="707">
        <f t="shared" si="12"/>
        <v>0</v>
      </c>
      <c r="N118" s="755">
        <f t="shared" si="13"/>
        <v>0</v>
      </c>
      <c r="O118" s="707"/>
      <c r="P118" s="709">
        <v>110</v>
      </c>
      <c r="Q118" s="733"/>
      <c r="R118" s="734"/>
      <c r="S118" s="734">
        <v>110</v>
      </c>
      <c r="T118" s="712">
        <f t="shared" si="16"/>
        <v>110</v>
      </c>
      <c r="U118" s="707">
        <f t="shared" si="21"/>
        <v>0</v>
      </c>
      <c r="V118" s="713"/>
      <c r="W118" s="709"/>
      <c r="X118" s="707"/>
      <c r="Y118" s="707"/>
      <c r="Z118" s="707"/>
      <c r="AA118" s="752"/>
      <c r="AB118" s="713"/>
      <c r="AC118" s="709">
        <f t="shared" si="20"/>
        <v>110</v>
      </c>
      <c r="AD118" s="748" t="s">
        <v>523</v>
      </c>
      <c r="AE118" s="714" t="s">
        <v>524</v>
      </c>
      <c r="AF118" s="715"/>
      <c r="AG118" s="275" t="s">
        <v>556</v>
      </c>
      <c r="AH118" s="273" t="s">
        <v>755</v>
      </c>
      <c r="AI118" s="274" t="s">
        <v>549</v>
      </c>
      <c r="AJ118" s="274"/>
      <c r="AK118" s="291" t="s">
        <v>550</v>
      </c>
      <c r="AL118" s="282"/>
      <c r="AM118" s="59">
        <v>4943</v>
      </c>
      <c r="AN118" s="250">
        <v>36783</v>
      </c>
      <c r="AO118" s="216" t="s">
        <v>756</v>
      </c>
      <c r="AP118" s="62"/>
      <c r="AQ118" s="62"/>
      <c r="AR118" s="62"/>
      <c r="AS118" s="62"/>
      <c r="AT118" s="62"/>
      <c r="AU118" s="62"/>
      <c r="AV118" s="62"/>
      <c r="AW118" s="62"/>
      <c r="AX118" s="62"/>
    </row>
    <row r="119" spans="1:83" s="218" customFormat="1" ht="10" x14ac:dyDescent="0.25">
      <c r="A119" s="704" t="s">
        <v>250</v>
      </c>
      <c r="B119" s="705" t="s">
        <v>859</v>
      </c>
      <c r="C119" s="706"/>
      <c r="D119" s="707"/>
      <c r="E119" s="708"/>
      <c r="F119" s="707"/>
      <c r="G119" s="708"/>
      <c r="H119" s="707"/>
      <c r="I119" s="708"/>
      <c r="J119" s="707"/>
      <c r="K119" s="708"/>
      <c r="L119" s="707">
        <f t="shared" si="11"/>
        <v>0</v>
      </c>
      <c r="M119" s="707">
        <f t="shared" si="12"/>
        <v>0</v>
      </c>
      <c r="N119" s="755">
        <f t="shared" si="13"/>
        <v>0</v>
      </c>
      <c r="O119" s="707"/>
      <c r="P119" s="709"/>
      <c r="Q119" s="717">
        <v>1400</v>
      </c>
      <c r="R119" s="720"/>
      <c r="S119" s="720">
        <v>1400</v>
      </c>
      <c r="T119" s="712">
        <f t="shared" si="16"/>
        <v>140</v>
      </c>
      <c r="U119" s="707" t="str">
        <f t="shared" si="21"/>
        <v>(c)</v>
      </c>
      <c r="V119" s="713"/>
      <c r="W119" s="709"/>
      <c r="X119" s="707"/>
      <c r="Y119" s="707"/>
      <c r="Z119" s="707"/>
      <c r="AA119" s="752"/>
      <c r="AB119" s="713"/>
      <c r="AC119" s="709">
        <f t="shared" si="20"/>
        <v>1400</v>
      </c>
      <c r="AD119" s="748" t="s">
        <v>479</v>
      </c>
      <c r="AE119" s="714" t="s">
        <v>525</v>
      </c>
      <c r="AF119" s="715"/>
      <c r="AG119" s="275" t="s">
        <v>758</v>
      </c>
      <c r="AH119" s="276" t="s">
        <v>759</v>
      </c>
      <c r="AI119" s="274" t="s">
        <v>760</v>
      </c>
      <c r="AJ119" s="274">
        <v>1</v>
      </c>
      <c r="AK119" s="291"/>
      <c r="AL119" s="282"/>
      <c r="AM119" s="59">
        <v>15211</v>
      </c>
      <c r="AN119" s="250">
        <v>36899</v>
      </c>
      <c r="AO119" s="216" t="s">
        <v>761</v>
      </c>
      <c r="AP119" s="62"/>
      <c r="AQ119" s="62"/>
      <c r="AR119" s="62"/>
      <c r="AS119" s="62"/>
      <c r="AT119" s="62"/>
      <c r="AU119" s="62"/>
      <c r="AV119" s="62"/>
      <c r="AW119" s="62"/>
      <c r="AX119" s="62"/>
      <c r="CE119" s="218" t="s">
        <v>757</v>
      </c>
    </row>
    <row r="120" spans="1:83" s="218" customFormat="1" ht="10" x14ac:dyDescent="0.25">
      <c r="A120" s="704" t="s">
        <v>251</v>
      </c>
      <c r="B120" s="705" t="s">
        <v>860</v>
      </c>
      <c r="C120" s="706"/>
      <c r="D120" s="707"/>
      <c r="E120" s="708"/>
      <c r="F120" s="707"/>
      <c r="G120" s="708"/>
      <c r="H120" s="707"/>
      <c r="I120" s="708"/>
      <c r="J120" s="707"/>
      <c r="K120" s="708"/>
      <c r="L120" s="707">
        <f t="shared" si="11"/>
        <v>0</v>
      </c>
      <c r="M120" s="707">
        <f t="shared" si="12"/>
        <v>0</v>
      </c>
      <c r="N120" s="755">
        <f t="shared" si="13"/>
        <v>0</v>
      </c>
      <c r="O120" s="707"/>
      <c r="P120" s="709">
        <v>340</v>
      </c>
      <c r="Q120" s="710"/>
      <c r="R120" s="720"/>
      <c r="S120" s="720">
        <v>340</v>
      </c>
      <c r="T120" s="712">
        <f t="shared" si="16"/>
        <v>340</v>
      </c>
      <c r="U120" s="707">
        <f t="shared" si="21"/>
        <v>0</v>
      </c>
      <c r="V120" s="713"/>
      <c r="W120" s="709"/>
      <c r="X120" s="707"/>
      <c r="Y120" s="707"/>
      <c r="Z120" s="707"/>
      <c r="AA120" s="752"/>
      <c r="AB120" s="713"/>
      <c r="AC120" s="709">
        <f t="shared" si="20"/>
        <v>340</v>
      </c>
      <c r="AD120" s="748" t="s">
        <v>473</v>
      </c>
      <c r="AE120" s="714" t="s">
        <v>762</v>
      </c>
      <c r="AF120" s="715"/>
      <c r="AG120" s="275" t="s">
        <v>547</v>
      </c>
      <c r="AH120" s="276" t="s">
        <v>548</v>
      </c>
      <c r="AI120" s="274" t="s">
        <v>678</v>
      </c>
      <c r="AJ120" s="274">
        <v>336</v>
      </c>
      <c r="AK120" s="291" t="s">
        <v>558</v>
      </c>
      <c r="AL120" s="282"/>
      <c r="AM120" s="59">
        <v>15526</v>
      </c>
      <c r="AN120" s="250">
        <v>36899</v>
      </c>
      <c r="AO120" s="62" t="s">
        <v>642</v>
      </c>
      <c r="AP120" s="62"/>
      <c r="AQ120" s="62"/>
      <c r="AR120" s="62"/>
      <c r="AS120" s="62"/>
      <c r="AT120" s="62"/>
      <c r="AU120" s="62"/>
      <c r="AV120" s="62"/>
      <c r="AW120" s="62"/>
      <c r="AX120" s="62"/>
    </row>
    <row r="121" spans="1:83" s="218" customFormat="1" ht="10" x14ac:dyDescent="0.25">
      <c r="A121" s="704" t="s">
        <v>252</v>
      </c>
      <c r="B121" s="705" t="s">
        <v>861</v>
      </c>
      <c r="C121" s="706"/>
      <c r="D121" s="707"/>
      <c r="E121" s="708"/>
      <c r="F121" s="707"/>
      <c r="G121" s="708"/>
      <c r="H121" s="707"/>
      <c r="I121" s="708"/>
      <c r="J121" s="707"/>
      <c r="K121" s="708"/>
      <c r="L121" s="707">
        <f t="shared" si="11"/>
        <v>0</v>
      </c>
      <c r="M121" s="707">
        <f t="shared" si="12"/>
        <v>0</v>
      </c>
      <c r="N121" s="755">
        <f t="shared" si="13"/>
        <v>0</v>
      </c>
      <c r="O121" s="707"/>
      <c r="P121" s="709" t="s">
        <v>526</v>
      </c>
      <c r="Q121" s="710">
        <v>9000</v>
      </c>
      <c r="R121" s="720">
        <v>900</v>
      </c>
      <c r="S121" s="720">
        <v>900</v>
      </c>
      <c r="T121" s="712">
        <f t="shared" si="16"/>
        <v>900</v>
      </c>
      <c r="U121" s="707" t="str">
        <f t="shared" si="21"/>
        <v>(c)</v>
      </c>
      <c r="V121" s="713"/>
      <c r="W121" s="709"/>
      <c r="X121" s="707"/>
      <c r="Y121" s="707"/>
      <c r="Z121" s="707"/>
      <c r="AA121" s="752"/>
      <c r="AB121" s="713"/>
      <c r="AC121" s="709">
        <f t="shared" si="20"/>
        <v>900</v>
      </c>
      <c r="AD121" s="748" t="s">
        <v>763</v>
      </c>
      <c r="AE121" s="714" t="s">
        <v>125</v>
      </c>
      <c r="AF121" s="715"/>
      <c r="AG121" s="275" t="s">
        <v>673</v>
      </c>
      <c r="AH121" s="276" t="s">
        <v>630</v>
      </c>
      <c r="AI121" s="274" t="s">
        <v>760</v>
      </c>
      <c r="AJ121" s="274">
        <v>96</v>
      </c>
      <c r="AK121" s="291" t="s">
        <v>550</v>
      </c>
      <c r="AL121" s="282"/>
      <c r="AM121" s="59">
        <v>973</v>
      </c>
      <c r="AN121" s="250">
        <v>36899</v>
      </c>
      <c r="AO121" s="62" t="s">
        <v>0</v>
      </c>
      <c r="AP121" s="62"/>
      <c r="AQ121" s="62"/>
      <c r="AR121" s="62"/>
      <c r="AS121" s="62"/>
      <c r="AT121" s="62"/>
      <c r="AU121" s="62"/>
      <c r="AV121" s="62"/>
      <c r="AW121" s="62"/>
      <c r="AX121" s="62"/>
    </row>
    <row r="122" spans="1:83" s="218" customFormat="1" ht="10" x14ac:dyDescent="0.25">
      <c r="A122" s="704" t="s">
        <v>253</v>
      </c>
      <c r="B122" s="705" t="s">
        <v>862</v>
      </c>
      <c r="C122" s="706"/>
      <c r="D122" s="707"/>
      <c r="E122" s="708"/>
      <c r="F122" s="707"/>
      <c r="G122" s="708"/>
      <c r="H122" s="707"/>
      <c r="I122" s="708"/>
      <c r="J122" s="707"/>
      <c r="K122" s="708"/>
      <c r="L122" s="707">
        <f t="shared" si="11"/>
        <v>0</v>
      </c>
      <c r="M122" s="707">
        <f t="shared" si="12"/>
        <v>0</v>
      </c>
      <c r="N122" s="755">
        <f t="shared" si="13"/>
        <v>0</v>
      </c>
      <c r="O122" s="707"/>
      <c r="P122" s="719">
        <v>14800</v>
      </c>
      <c r="Q122" s="717"/>
      <c r="R122" s="720"/>
      <c r="S122" s="718">
        <v>15000</v>
      </c>
      <c r="T122" s="712">
        <f t="shared" si="16"/>
        <v>14800</v>
      </c>
      <c r="U122" s="707">
        <f t="shared" si="21"/>
        <v>0</v>
      </c>
      <c r="V122" s="713"/>
      <c r="W122" s="709" t="s">
        <v>526</v>
      </c>
      <c r="X122" s="707"/>
      <c r="Y122" s="707"/>
      <c r="Z122" s="707"/>
      <c r="AA122" s="752" t="s">
        <v>526</v>
      </c>
      <c r="AB122" s="713"/>
      <c r="AC122" s="709">
        <f t="shared" si="20"/>
        <v>15000</v>
      </c>
      <c r="AD122" s="748" t="s">
        <v>473</v>
      </c>
      <c r="AE122" s="714" t="s">
        <v>522</v>
      </c>
      <c r="AF122" s="715"/>
      <c r="AG122" s="275" t="s">
        <v>673</v>
      </c>
      <c r="AH122" s="276" t="s">
        <v>630</v>
      </c>
      <c r="AI122" s="274" t="s">
        <v>678</v>
      </c>
      <c r="AJ122" s="274">
        <v>768</v>
      </c>
      <c r="AK122" s="291" t="s">
        <v>550</v>
      </c>
      <c r="AL122" s="282"/>
      <c r="AM122" s="59">
        <v>4433</v>
      </c>
      <c r="AN122" s="59" t="s">
        <v>632</v>
      </c>
      <c r="AO122" s="62" t="s">
        <v>754</v>
      </c>
      <c r="AP122" s="62"/>
      <c r="AQ122" s="62"/>
      <c r="AR122" s="62"/>
      <c r="AS122" s="62"/>
      <c r="AT122" s="62"/>
      <c r="AU122" s="62"/>
      <c r="AV122" s="62"/>
      <c r="AW122" s="62"/>
      <c r="AX122" s="62"/>
    </row>
    <row r="123" spans="1:83" s="218" customFormat="1" ht="10" x14ac:dyDescent="0.25">
      <c r="A123" s="704" t="s">
        <v>254</v>
      </c>
      <c r="B123" s="705" t="s">
        <v>863</v>
      </c>
      <c r="C123" s="706"/>
      <c r="D123" s="707"/>
      <c r="E123" s="708"/>
      <c r="F123" s="707"/>
      <c r="G123" s="708"/>
      <c r="H123" s="707"/>
      <c r="I123" s="708"/>
      <c r="J123" s="707"/>
      <c r="K123" s="708"/>
      <c r="L123" s="707">
        <f t="shared" si="11"/>
        <v>0</v>
      </c>
      <c r="M123" s="707">
        <f t="shared" si="12"/>
        <v>0</v>
      </c>
      <c r="N123" s="755">
        <f t="shared" si="13"/>
        <v>0</v>
      </c>
      <c r="O123" s="707"/>
      <c r="P123" s="719"/>
      <c r="Q123" s="717">
        <v>1900</v>
      </c>
      <c r="R123" s="720">
        <v>190</v>
      </c>
      <c r="S123" s="718">
        <v>190</v>
      </c>
      <c r="T123" s="712">
        <f t="shared" si="16"/>
        <v>190</v>
      </c>
      <c r="U123" s="707" t="str">
        <f t="shared" si="21"/>
        <v>(c)</v>
      </c>
      <c r="V123" s="713"/>
      <c r="W123" s="709"/>
      <c r="X123" s="707"/>
      <c r="Y123" s="707"/>
      <c r="Z123" s="707"/>
      <c r="AA123" s="752"/>
      <c r="AB123" s="713"/>
      <c r="AC123" s="709">
        <f t="shared" si="20"/>
        <v>190</v>
      </c>
      <c r="AD123" s="748" t="s">
        <v>474</v>
      </c>
      <c r="AE123" s="714" t="s">
        <v>126</v>
      </c>
      <c r="AF123" s="715"/>
      <c r="AG123" s="275" t="s">
        <v>617</v>
      </c>
      <c r="AH123" s="276" t="s">
        <v>618</v>
      </c>
      <c r="AI123" s="274" t="s">
        <v>549</v>
      </c>
      <c r="AJ123" s="274">
        <v>48</v>
      </c>
      <c r="AK123" s="291" t="s">
        <v>561</v>
      </c>
      <c r="AL123" s="282"/>
      <c r="AM123" s="59">
        <v>12513</v>
      </c>
      <c r="AN123" s="250">
        <v>36899</v>
      </c>
      <c r="AO123" s="62" t="s">
        <v>2</v>
      </c>
      <c r="AP123" s="62"/>
      <c r="AQ123" s="62"/>
      <c r="AR123" s="62"/>
      <c r="AS123" s="62"/>
      <c r="AT123" s="62"/>
      <c r="AU123" s="62"/>
      <c r="AV123" s="62"/>
      <c r="AW123" s="62"/>
      <c r="AX123" s="62"/>
      <c r="CE123" s="218" t="s">
        <v>1</v>
      </c>
    </row>
    <row r="124" spans="1:83" s="218" customFormat="1" ht="10" x14ac:dyDescent="0.25">
      <c r="A124" s="704" t="s">
        <v>255</v>
      </c>
      <c r="B124" s="705" t="s">
        <v>864</v>
      </c>
      <c r="C124" s="706"/>
      <c r="D124" s="707"/>
      <c r="E124" s="708"/>
      <c r="F124" s="707"/>
      <c r="G124" s="708"/>
      <c r="H124" s="707"/>
      <c r="I124" s="708"/>
      <c r="J124" s="707"/>
      <c r="K124" s="708"/>
      <c r="L124" s="707">
        <f t="shared" si="11"/>
        <v>0</v>
      </c>
      <c r="M124" s="707">
        <f t="shared" si="12"/>
        <v>0</v>
      </c>
      <c r="N124" s="755">
        <f t="shared" si="13"/>
        <v>0</v>
      </c>
      <c r="O124" s="707"/>
      <c r="P124" s="709">
        <v>125</v>
      </c>
      <c r="Q124" s="710"/>
      <c r="R124" s="720"/>
      <c r="S124" s="720">
        <v>130</v>
      </c>
      <c r="T124" s="712">
        <f t="shared" si="16"/>
        <v>125</v>
      </c>
      <c r="U124" s="707">
        <f t="shared" si="21"/>
        <v>0</v>
      </c>
      <c r="V124" s="713"/>
      <c r="W124" s="709"/>
      <c r="X124" s="707"/>
      <c r="Y124" s="707"/>
      <c r="Z124" s="707"/>
      <c r="AA124" s="752"/>
      <c r="AB124" s="713"/>
      <c r="AC124" s="709">
        <f t="shared" si="20"/>
        <v>130</v>
      </c>
      <c r="AD124" s="748" t="s">
        <v>523</v>
      </c>
      <c r="AE124" s="714" t="s">
        <v>4</v>
      </c>
      <c r="AF124" s="715"/>
      <c r="AG124" s="275" t="s">
        <v>671</v>
      </c>
      <c r="AH124" s="276" t="s">
        <v>672</v>
      </c>
      <c r="AI124" s="274" t="s">
        <v>678</v>
      </c>
      <c r="AJ124" s="274">
        <v>288</v>
      </c>
      <c r="AK124" s="291" t="s">
        <v>558</v>
      </c>
      <c r="AL124" s="282"/>
      <c r="AM124" s="59">
        <v>17849</v>
      </c>
      <c r="AN124" s="250">
        <v>36899</v>
      </c>
      <c r="AO124" s="62" t="s">
        <v>5</v>
      </c>
      <c r="AP124" s="62"/>
      <c r="AQ124" s="62"/>
      <c r="AR124" s="62"/>
      <c r="AS124" s="62"/>
      <c r="AT124" s="62"/>
      <c r="AU124" s="62"/>
      <c r="AV124" s="62"/>
      <c r="AW124" s="62"/>
      <c r="AX124" s="62"/>
      <c r="CE124" s="218" t="s">
        <v>3</v>
      </c>
    </row>
    <row r="125" spans="1:83" s="218" customFormat="1" ht="10" x14ac:dyDescent="0.25">
      <c r="A125" s="704" t="s">
        <v>256</v>
      </c>
      <c r="B125" s="705" t="s">
        <v>865</v>
      </c>
      <c r="C125" s="706"/>
      <c r="D125" s="707"/>
      <c r="E125" s="708"/>
      <c r="F125" s="707"/>
      <c r="G125" s="708"/>
      <c r="H125" s="707"/>
      <c r="I125" s="708"/>
      <c r="J125" s="707"/>
      <c r="K125" s="708"/>
      <c r="L125" s="707">
        <f t="shared" si="11"/>
        <v>0</v>
      </c>
      <c r="M125" s="707">
        <f t="shared" si="12"/>
        <v>0</v>
      </c>
      <c r="N125" s="755">
        <f t="shared" si="13"/>
        <v>0</v>
      </c>
      <c r="O125" s="707"/>
      <c r="P125" s="709"/>
      <c r="Q125" s="710">
        <v>180</v>
      </c>
      <c r="R125" s="720">
        <v>18</v>
      </c>
      <c r="S125" s="720">
        <v>18</v>
      </c>
      <c r="T125" s="712">
        <f t="shared" si="16"/>
        <v>18</v>
      </c>
      <c r="U125" s="707" t="str">
        <f t="shared" si="21"/>
        <v>(c)</v>
      </c>
      <c r="V125" s="713"/>
      <c r="W125" s="709"/>
      <c r="X125" s="707"/>
      <c r="Y125" s="707"/>
      <c r="Z125" s="707"/>
      <c r="AA125" s="752"/>
      <c r="AB125" s="713"/>
      <c r="AC125" s="709">
        <f t="shared" si="20"/>
        <v>18</v>
      </c>
      <c r="AD125" s="748" t="s">
        <v>474</v>
      </c>
      <c r="AE125" s="714" t="s">
        <v>6</v>
      </c>
      <c r="AF125" s="715"/>
      <c r="AG125" s="272" t="s">
        <v>617</v>
      </c>
      <c r="AH125" s="273" t="s">
        <v>618</v>
      </c>
      <c r="AI125" s="274" t="s">
        <v>549</v>
      </c>
      <c r="AJ125" s="274">
        <v>48</v>
      </c>
      <c r="AK125" s="291" t="s">
        <v>561</v>
      </c>
      <c r="AL125" s="282"/>
      <c r="AM125" s="59"/>
      <c r="AN125" s="59"/>
      <c r="AO125" s="62" t="s">
        <v>2</v>
      </c>
      <c r="AP125" s="62"/>
      <c r="AQ125" s="62"/>
      <c r="AR125" s="62"/>
      <c r="AS125" s="62"/>
      <c r="AT125" s="62"/>
      <c r="AU125" s="62"/>
      <c r="AV125" s="62"/>
      <c r="AW125" s="62"/>
      <c r="AX125" s="62"/>
    </row>
    <row r="126" spans="1:83" s="218" customFormat="1" ht="10" x14ac:dyDescent="0.25">
      <c r="A126" s="704" t="s">
        <v>257</v>
      </c>
      <c r="B126" s="705" t="s">
        <v>866</v>
      </c>
      <c r="C126" s="706"/>
      <c r="D126" s="707"/>
      <c r="E126" s="708"/>
      <c r="F126" s="707"/>
      <c r="G126" s="732"/>
      <c r="H126" s="707"/>
      <c r="I126" s="708"/>
      <c r="J126" s="707"/>
      <c r="K126" s="708"/>
      <c r="L126" s="707">
        <f t="shared" si="11"/>
        <v>0</v>
      </c>
      <c r="M126" s="707">
        <f t="shared" si="12"/>
        <v>0</v>
      </c>
      <c r="N126" s="755">
        <f t="shared" si="13"/>
        <v>0</v>
      </c>
      <c r="O126" s="707"/>
      <c r="P126" s="709">
        <v>160</v>
      </c>
      <c r="Q126" s="710"/>
      <c r="R126" s="720"/>
      <c r="S126" s="720">
        <v>160</v>
      </c>
      <c r="T126" s="712">
        <f t="shared" si="16"/>
        <v>160</v>
      </c>
      <c r="U126" s="707">
        <f t="shared" si="21"/>
        <v>0</v>
      </c>
      <c r="V126" s="713"/>
      <c r="W126" s="709"/>
      <c r="X126" s="707"/>
      <c r="Y126" s="707"/>
      <c r="Z126" s="707"/>
      <c r="AA126" s="752"/>
      <c r="AB126" s="713"/>
      <c r="AC126" s="709">
        <f>IF(M126&lt;&gt;0,M126,IF(S126&lt;&gt;0,S126,IF(Z126&lt;&gt;0,Z126,)))</f>
        <v>160</v>
      </c>
      <c r="AD126" s="748" t="s">
        <v>523</v>
      </c>
      <c r="AE126" s="714" t="s">
        <v>527</v>
      </c>
      <c r="AF126" s="715"/>
      <c r="AG126" s="272" t="s">
        <v>723</v>
      </c>
      <c r="AH126" s="273" t="s">
        <v>672</v>
      </c>
      <c r="AI126" s="274" t="s">
        <v>549</v>
      </c>
      <c r="AJ126" s="274">
        <v>672</v>
      </c>
      <c r="AK126" s="291" t="s">
        <v>558</v>
      </c>
      <c r="AL126" s="282"/>
      <c r="AM126" s="59">
        <v>5305</v>
      </c>
      <c r="AN126" s="250">
        <v>36783</v>
      </c>
      <c r="AO126" s="62" t="s">
        <v>7</v>
      </c>
      <c r="AP126" s="62"/>
      <c r="AQ126" s="62"/>
      <c r="AR126" s="62"/>
      <c r="AS126" s="62"/>
      <c r="AT126" s="62"/>
      <c r="AU126" s="62"/>
      <c r="AV126" s="62"/>
      <c r="AW126" s="62"/>
      <c r="AX126" s="62"/>
    </row>
    <row r="127" spans="1:83" s="218" customFormat="1" ht="10" x14ac:dyDescent="0.25">
      <c r="A127" s="704" t="s">
        <v>258</v>
      </c>
      <c r="B127" s="705" t="s">
        <v>867</v>
      </c>
      <c r="C127" s="706"/>
      <c r="D127" s="707"/>
      <c r="E127" s="708"/>
      <c r="F127" s="707"/>
      <c r="G127" s="708"/>
      <c r="H127" s="707"/>
      <c r="I127" s="708"/>
      <c r="J127" s="707"/>
      <c r="K127" s="708"/>
      <c r="L127" s="707">
        <f t="shared" si="11"/>
        <v>0</v>
      </c>
      <c r="M127" s="707">
        <f t="shared" si="12"/>
        <v>0</v>
      </c>
      <c r="N127" s="755">
        <f t="shared" si="13"/>
        <v>0</v>
      </c>
      <c r="O127" s="707"/>
      <c r="P127" s="709"/>
      <c r="Q127" s="717">
        <v>405000</v>
      </c>
      <c r="R127" s="718">
        <v>40500</v>
      </c>
      <c r="S127" s="718">
        <v>41000</v>
      </c>
      <c r="T127" s="712">
        <f t="shared" si="16"/>
        <v>40500</v>
      </c>
      <c r="U127" s="707" t="str">
        <f t="shared" si="21"/>
        <v>(c)</v>
      </c>
      <c r="V127" s="713"/>
      <c r="W127" s="709"/>
      <c r="X127" s="707"/>
      <c r="Y127" s="707"/>
      <c r="Z127" s="707"/>
      <c r="AA127" s="752"/>
      <c r="AB127" s="713"/>
      <c r="AC127" s="709">
        <f>IF(M127&lt;&gt;0,M127,IF(S127&lt;&gt;0,S127,IF(Z127&lt;&gt;0,Z127,)))</f>
        <v>41000</v>
      </c>
      <c r="AD127" s="748" t="s">
        <v>479</v>
      </c>
      <c r="AE127" s="714" t="s">
        <v>528</v>
      </c>
      <c r="AF127" s="715"/>
      <c r="AG127" s="275" t="s">
        <v>8</v>
      </c>
      <c r="AH127" s="276" t="s">
        <v>9</v>
      </c>
      <c r="AI127" s="274" t="s">
        <v>678</v>
      </c>
      <c r="AJ127" s="274">
        <v>9</v>
      </c>
      <c r="AK127" s="291" t="s">
        <v>561</v>
      </c>
      <c r="AL127" s="282"/>
      <c r="AM127" s="59">
        <v>16142</v>
      </c>
      <c r="AN127" s="250">
        <v>36783</v>
      </c>
      <c r="AO127" s="216" t="s">
        <v>10</v>
      </c>
      <c r="AP127" s="62"/>
      <c r="AQ127" s="62"/>
      <c r="AR127" s="62"/>
      <c r="AS127" s="62"/>
      <c r="AT127" s="62"/>
      <c r="AU127" s="62"/>
      <c r="AV127" s="62"/>
      <c r="AW127" s="62"/>
      <c r="AX127" s="62"/>
    </row>
    <row r="128" spans="1:83" s="218" customFormat="1" ht="10" x14ac:dyDescent="0.25">
      <c r="A128" s="704" t="s">
        <v>286</v>
      </c>
      <c r="B128" s="705" t="s">
        <v>868</v>
      </c>
      <c r="C128" s="706"/>
      <c r="D128" s="707"/>
      <c r="E128" s="708"/>
      <c r="F128" s="707"/>
      <c r="G128" s="708"/>
      <c r="H128" s="707"/>
      <c r="I128" s="708"/>
      <c r="J128" s="707"/>
      <c r="K128" s="708"/>
      <c r="L128" s="707">
        <f t="shared" si="11"/>
        <v>0</v>
      </c>
      <c r="M128" s="707">
        <f t="shared" si="12"/>
        <v>0</v>
      </c>
      <c r="N128" s="755">
        <f t="shared" si="13"/>
        <v>0</v>
      </c>
      <c r="O128" s="707"/>
      <c r="P128" s="709"/>
      <c r="Q128" s="710">
        <v>200</v>
      </c>
      <c r="R128" s="720"/>
      <c r="S128" s="720">
        <v>200</v>
      </c>
      <c r="T128" s="712">
        <f t="shared" si="16"/>
        <v>20</v>
      </c>
      <c r="U128" s="707" t="str">
        <f t="shared" si="21"/>
        <v>(c)</v>
      </c>
      <c r="V128" s="713"/>
      <c r="W128" s="709"/>
      <c r="X128" s="707"/>
      <c r="Y128" s="707"/>
      <c r="Z128" s="707"/>
      <c r="AA128" s="752"/>
      <c r="AB128" s="713"/>
      <c r="AC128" s="709">
        <f>IF(M128&lt;&gt;0,M128,IF(S128&lt;&gt;0,S128,IF(Z128&lt;&gt;0,Z128,)))</f>
        <v>200</v>
      </c>
      <c r="AD128" s="748" t="s">
        <v>479</v>
      </c>
      <c r="AE128" s="714" t="s">
        <v>525</v>
      </c>
      <c r="AF128" s="715"/>
      <c r="AG128" s="275" t="s">
        <v>12</v>
      </c>
      <c r="AH128" s="276" t="s">
        <v>759</v>
      </c>
      <c r="AI128" s="274" t="s">
        <v>760</v>
      </c>
      <c r="AJ128" s="274"/>
      <c r="AK128" s="291"/>
      <c r="AL128" s="282"/>
      <c r="AM128" s="59">
        <v>15211</v>
      </c>
      <c r="AN128" s="250">
        <v>36899</v>
      </c>
      <c r="AO128" s="216" t="s">
        <v>761</v>
      </c>
      <c r="AP128" s="62"/>
      <c r="AQ128" s="62"/>
      <c r="AR128" s="62"/>
      <c r="AS128" s="62"/>
      <c r="AT128" s="62"/>
      <c r="AU128" s="62"/>
      <c r="AV128" s="62"/>
      <c r="AW128" s="62"/>
      <c r="AX128" s="62"/>
      <c r="CE128" s="218" t="s">
        <v>11</v>
      </c>
    </row>
    <row r="129" spans="1:106" s="218" customFormat="1" ht="10.5" thickBot="1" x14ac:dyDescent="0.3">
      <c r="A129" s="736" t="s">
        <v>259</v>
      </c>
      <c r="B129" s="737" t="s">
        <v>869</v>
      </c>
      <c r="C129" s="738"/>
      <c r="D129" s="739">
        <v>37</v>
      </c>
      <c r="E129" s="740" t="s">
        <v>511</v>
      </c>
      <c r="F129" s="739">
        <v>37</v>
      </c>
      <c r="G129" s="740" t="s">
        <v>511</v>
      </c>
      <c r="H129" s="739">
        <v>90</v>
      </c>
      <c r="I129" s="740"/>
      <c r="J129" s="739">
        <v>81</v>
      </c>
      <c r="K129" s="740"/>
      <c r="L129" s="741">
        <f t="shared" si="11"/>
        <v>37</v>
      </c>
      <c r="M129" s="739">
        <f t="shared" si="12"/>
        <v>37</v>
      </c>
      <c r="N129" s="756" t="str">
        <f>IF(M129=0,0,IF(M129=J129,"CCC(SW)",IF(M129=F129,"CCC(FW)",IF(M129=D129/10,"CMC(FW)/10","CMC(SW)/10"))))</f>
        <v>CCC(FW)</v>
      </c>
      <c r="O129" s="739"/>
      <c r="P129" s="742"/>
      <c r="Q129" s="741"/>
      <c r="R129" s="743"/>
      <c r="S129" s="743"/>
      <c r="T129" s="744">
        <f t="shared" si="16"/>
        <v>0</v>
      </c>
      <c r="U129" s="739">
        <f t="shared" si="21"/>
        <v>0</v>
      </c>
      <c r="V129" s="745"/>
      <c r="W129" s="742"/>
      <c r="X129" s="739"/>
      <c r="Y129" s="739"/>
      <c r="Z129" s="739"/>
      <c r="AA129" s="753"/>
      <c r="AB129" s="745"/>
      <c r="AC129" s="742">
        <f>IF(M129&lt;&gt;0,M129,IF(S129&lt;&gt;0,S129,IF(Z129&lt;&gt;0,Z129,)))</f>
        <v>37</v>
      </c>
      <c r="AD129" s="749" t="str">
        <f>IF(AC129=0,"No Data",IF(AC129=M129,N129,IF(AC129=Q129/10,"AQUIRE(ACUTE)/10",IF(AC129=P129,"AQUIRE(CHRONIC)",IF(AC129=W129,"Lowest Chronic","Tier II Chronic")))))</f>
        <v>CCC(FW)</v>
      </c>
      <c r="AE129" s="746" t="s">
        <v>118</v>
      </c>
      <c r="AF129" s="747"/>
      <c r="AG129" s="293" t="s">
        <v>541</v>
      </c>
      <c r="AH129" s="294" t="s">
        <v>541</v>
      </c>
      <c r="AI129" s="295"/>
      <c r="AJ129" s="295"/>
      <c r="AK129" s="296"/>
      <c r="AL129" s="283"/>
      <c r="AM129" s="248" t="s">
        <v>541</v>
      </c>
      <c r="AN129" s="248" t="s">
        <v>542</v>
      </c>
      <c r="AO129" s="249" t="s">
        <v>543</v>
      </c>
      <c r="AP129" s="249"/>
      <c r="AQ129" s="249"/>
      <c r="AR129" s="249"/>
      <c r="AS129" s="249"/>
      <c r="AT129" s="249"/>
      <c r="AU129" s="62"/>
      <c r="AV129" s="62"/>
      <c r="AW129" s="62"/>
      <c r="AX129" s="62"/>
    </row>
    <row r="130" spans="1:106" s="218" customFormat="1" ht="10" x14ac:dyDescent="0.25">
      <c r="A130" s="94"/>
      <c r="B130" s="59"/>
      <c r="C130" s="62"/>
      <c r="D130" s="59"/>
      <c r="E130" s="59"/>
      <c r="F130" s="59"/>
      <c r="G130" s="59"/>
      <c r="H130" s="59"/>
      <c r="I130" s="59"/>
      <c r="J130" s="59"/>
      <c r="K130" s="59"/>
      <c r="L130" s="59"/>
      <c r="M130" s="59"/>
      <c r="N130" s="59"/>
      <c r="O130" s="59"/>
      <c r="P130" s="59"/>
      <c r="Q130" s="59"/>
      <c r="R130" s="59"/>
      <c r="S130" s="59"/>
      <c r="T130" s="59"/>
      <c r="U130" s="59"/>
      <c r="V130" s="59"/>
      <c r="W130" s="59"/>
      <c r="X130" s="59"/>
      <c r="Y130" s="59"/>
      <c r="Z130" s="59"/>
      <c r="AA130" s="73"/>
      <c r="AB130" s="59"/>
      <c r="AC130" s="59"/>
      <c r="AD130" s="59"/>
      <c r="AE130" s="216"/>
      <c r="AF130" s="216"/>
      <c r="AG130" s="280"/>
      <c r="AH130" s="265"/>
      <c r="AI130" s="73"/>
      <c r="AJ130" s="73"/>
      <c r="AK130" s="73"/>
      <c r="AL130" s="59"/>
      <c r="AM130" s="59"/>
      <c r="AN130" s="59"/>
      <c r="AO130" s="62"/>
      <c r="AP130" s="62"/>
      <c r="AQ130" s="62"/>
      <c r="AR130" s="62"/>
      <c r="AS130" s="62"/>
      <c r="AT130" s="62"/>
      <c r="AU130" s="62"/>
      <c r="AV130" s="62"/>
      <c r="AW130" s="62"/>
      <c r="AX130" s="62"/>
    </row>
    <row r="131" spans="1:106" s="218" customFormat="1" ht="10" x14ac:dyDescent="0.25">
      <c r="A131" s="94"/>
      <c r="B131" s="59"/>
      <c r="C131" s="62"/>
      <c r="D131" s="59"/>
      <c r="E131" s="59"/>
      <c r="F131" s="59"/>
      <c r="G131" s="59"/>
      <c r="H131" s="59"/>
      <c r="I131" s="59"/>
      <c r="J131" s="59"/>
      <c r="K131" s="59"/>
      <c r="L131" s="59"/>
      <c r="M131" s="59"/>
      <c r="N131" s="59"/>
      <c r="O131" s="59"/>
      <c r="P131" s="59"/>
      <c r="Q131" s="59"/>
      <c r="R131" s="59"/>
      <c r="S131" s="59"/>
      <c r="T131" s="59"/>
      <c r="U131" s="59"/>
      <c r="V131" s="59"/>
      <c r="W131" s="59"/>
      <c r="X131" s="59"/>
      <c r="Y131" s="59"/>
      <c r="Z131" s="59"/>
      <c r="AA131" s="73"/>
      <c r="AB131" s="59"/>
      <c r="AC131" s="59"/>
      <c r="AD131" s="59"/>
      <c r="AE131" s="216"/>
      <c r="AF131" s="216"/>
      <c r="AG131" s="280"/>
      <c r="AH131" s="265"/>
      <c r="AI131" s="73"/>
      <c r="AJ131" s="73"/>
      <c r="AK131" s="73"/>
      <c r="AL131" s="59"/>
      <c r="AM131" s="59"/>
      <c r="AN131" s="59"/>
      <c r="AO131" s="62"/>
      <c r="AP131" s="62"/>
      <c r="AQ131" s="62"/>
      <c r="AR131" s="62"/>
      <c r="AS131" s="62"/>
      <c r="AT131" s="62"/>
      <c r="AU131" s="62"/>
      <c r="AV131" s="62"/>
      <c r="AW131" s="62"/>
      <c r="AX131" s="62"/>
    </row>
    <row r="132" spans="1:106" s="218" customFormat="1" ht="10" x14ac:dyDescent="0.25">
      <c r="A132" s="253"/>
      <c r="B132" s="59"/>
      <c r="C132" s="59"/>
      <c r="D132" s="62" t="s">
        <v>127</v>
      </c>
      <c r="E132" s="59"/>
      <c r="F132" s="62"/>
      <c r="G132" s="62"/>
      <c r="H132" s="62"/>
      <c r="I132" s="62"/>
      <c r="J132" s="62"/>
      <c r="K132" s="62"/>
      <c r="L132" s="62"/>
      <c r="M132" s="62"/>
      <c r="N132" s="62"/>
      <c r="O132" s="62"/>
      <c r="P132" s="62"/>
      <c r="Q132" s="62"/>
      <c r="R132" s="62"/>
      <c r="S132" s="62"/>
      <c r="T132" s="62"/>
      <c r="U132" s="62"/>
      <c r="V132" s="62"/>
      <c r="W132" s="62"/>
      <c r="X132" s="62"/>
      <c r="Y132" s="62"/>
      <c r="Z132" s="62"/>
      <c r="AA132" s="94"/>
      <c r="AB132" s="62"/>
      <c r="AC132" s="62"/>
      <c r="AD132" s="59"/>
      <c r="AE132" s="216"/>
      <c r="AF132" s="216"/>
      <c r="AG132" s="265"/>
      <c r="AH132" s="265"/>
      <c r="AI132" s="73"/>
      <c r="AJ132" s="73"/>
      <c r="AK132" s="73"/>
      <c r="AL132" s="59"/>
      <c r="AM132" s="59"/>
      <c r="AN132" s="59"/>
      <c r="AO132" s="62"/>
      <c r="AP132" s="62"/>
      <c r="AQ132" s="62"/>
      <c r="AR132" s="62"/>
      <c r="AS132" s="62"/>
      <c r="AT132" s="62"/>
      <c r="AU132" s="62"/>
      <c r="AV132" s="62"/>
      <c r="AW132" s="62"/>
      <c r="AX132" s="62"/>
      <c r="AY132" s="62"/>
      <c r="AZ132" s="62"/>
      <c r="BA132" s="62"/>
      <c r="BB132" s="62"/>
      <c r="BC132" s="62"/>
      <c r="BD132" s="62"/>
      <c r="BE132" s="62"/>
      <c r="BF132" s="62"/>
      <c r="BG132" s="62"/>
      <c r="CK132" s="62"/>
      <c r="CL132" s="62"/>
      <c r="CM132" s="62"/>
      <c r="CN132" s="62"/>
      <c r="CO132" s="62"/>
      <c r="CP132" s="62"/>
      <c r="CQ132" s="62"/>
      <c r="CR132" s="62"/>
      <c r="CS132" s="62"/>
      <c r="CT132" s="62"/>
      <c r="CU132" s="62"/>
      <c r="CV132" s="62"/>
      <c r="CW132" s="62"/>
      <c r="CX132" s="62"/>
      <c r="CY132" s="62"/>
      <c r="CZ132" s="62"/>
      <c r="DA132" s="62"/>
      <c r="DB132" s="62"/>
    </row>
    <row r="133" spans="1:106" s="62" customFormat="1" ht="10" x14ac:dyDescent="0.25">
      <c r="A133" s="94"/>
      <c r="B133" s="59"/>
      <c r="D133" s="62" t="s">
        <v>128</v>
      </c>
      <c r="E133" s="59"/>
      <c r="K133" s="62" t="s">
        <v>129</v>
      </c>
      <c r="AA133" s="94"/>
      <c r="AD133" s="59"/>
      <c r="AE133" s="216"/>
      <c r="AF133" s="216"/>
      <c r="AG133" s="265"/>
      <c r="AH133" s="265"/>
      <c r="AI133" s="73"/>
      <c r="AJ133" s="73"/>
      <c r="AK133" s="73"/>
      <c r="AL133" s="59"/>
      <c r="AM133" s="59"/>
      <c r="AN133" s="59"/>
    </row>
    <row r="134" spans="1:106" s="62" customFormat="1" ht="10" x14ac:dyDescent="0.25">
      <c r="A134" s="94"/>
      <c r="B134" s="59"/>
      <c r="D134" s="62" t="s">
        <v>130</v>
      </c>
      <c r="E134" s="59"/>
      <c r="K134" s="62" t="s">
        <v>134</v>
      </c>
      <c r="AA134" s="94"/>
      <c r="AD134" s="59"/>
      <c r="AE134" s="216"/>
      <c r="AF134" s="216"/>
      <c r="AG134" s="280"/>
      <c r="AH134" s="265"/>
      <c r="AI134" s="73"/>
      <c r="AJ134" s="73"/>
      <c r="AK134" s="73"/>
      <c r="AL134" s="59"/>
      <c r="AM134" s="59"/>
      <c r="AN134" s="59"/>
    </row>
    <row r="135" spans="1:106" s="62" customFormat="1" ht="10" x14ac:dyDescent="0.25">
      <c r="A135" s="94"/>
      <c r="B135" s="59"/>
      <c r="D135" s="62" t="s">
        <v>135</v>
      </c>
      <c r="E135" s="59"/>
      <c r="K135" s="62" t="s">
        <v>136</v>
      </c>
      <c r="AA135" s="94"/>
      <c r="AD135" s="59"/>
      <c r="AE135" s="216"/>
      <c r="AF135" s="216"/>
      <c r="AG135" s="280"/>
      <c r="AH135" s="265"/>
      <c r="AI135" s="73"/>
      <c r="AJ135" s="73"/>
      <c r="AK135" s="73"/>
      <c r="AL135" s="59"/>
      <c r="AM135" s="59"/>
      <c r="AN135" s="59"/>
    </row>
    <row r="136" spans="1:106" s="62" customFormat="1" ht="10" x14ac:dyDescent="0.25">
      <c r="A136" s="94"/>
      <c r="B136" s="59"/>
      <c r="D136" s="62" t="s">
        <v>137</v>
      </c>
      <c r="E136" s="59"/>
      <c r="K136" s="62" t="s">
        <v>138</v>
      </c>
      <c r="AA136" s="94"/>
      <c r="AD136" s="59"/>
      <c r="AE136" s="216"/>
      <c r="AF136" s="216"/>
      <c r="AG136" s="265"/>
      <c r="AH136" s="265"/>
      <c r="AI136" s="73"/>
      <c r="AJ136" s="73"/>
      <c r="AK136" s="73"/>
      <c r="AL136" s="59"/>
      <c r="AM136" s="59"/>
      <c r="AN136" s="59"/>
    </row>
    <row r="137" spans="1:106" s="62" customFormat="1" ht="10" x14ac:dyDescent="0.25">
      <c r="A137" s="94"/>
      <c r="B137" s="59"/>
      <c r="D137" s="62" t="s">
        <v>139</v>
      </c>
      <c r="E137" s="59"/>
      <c r="K137" s="62" t="s">
        <v>140</v>
      </c>
      <c r="AA137" s="94"/>
      <c r="AD137" s="59"/>
      <c r="AE137" s="216"/>
      <c r="AF137" s="216"/>
      <c r="AG137" s="94"/>
      <c r="AH137" s="94"/>
      <c r="AI137" s="94"/>
      <c r="AJ137" s="94"/>
      <c r="AK137" s="94"/>
      <c r="AM137" s="59"/>
      <c r="AN137" s="59"/>
    </row>
    <row r="138" spans="1:106" s="62" customFormat="1" ht="10" x14ac:dyDescent="0.25">
      <c r="A138" s="94"/>
      <c r="B138" s="59"/>
      <c r="D138" s="62" t="s">
        <v>141</v>
      </c>
      <c r="E138" s="59"/>
      <c r="K138" s="62" t="s">
        <v>142</v>
      </c>
      <c r="AA138" s="94"/>
      <c r="AD138" s="59"/>
      <c r="AE138" s="216"/>
      <c r="AF138" s="216"/>
      <c r="AG138" s="94"/>
      <c r="AH138" s="94"/>
      <c r="AI138" s="94"/>
      <c r="AJ138" s="94"/>
      <c r="AK138" s="94"/>
      <c r="AM138" s="59"/>
      <c r="AN138" s="59"/>
    </row>
    <row r="139" spans="1:106" s="62" customFormat="1" ht="10" x14ac:dyDescent="0.25">
      <c r="A139" s="94"/>
      <c r="B139" s="59"/>
      <c r="D139" s="62" t="s">
        <v>143</v>
      </c>
      <c r="E139" s="59"/>
      <c r="K139" s="62" t="s">
        <v>144</v>
      </c>
      <c r="AA139" s="94"/>
      <c r="AD139" s="59"/>
      <c r="AE139" s="216"/>
      <c r="AF139" s="216"/>
      <c r="AG139" s="94"/>
      <c r="AH139" s="94"/>
      <c r="AI139" s="94"/>
      <c r="AJ139" s="94"/>
      <c r="AK139" s="94"/>
      <c r="AM139" s="59"/>
      <c r="AN139" s="59"/>
    </row>
    <row r="140" spans="1:106" s="62" customFormat="1" ht="12" x14ac:dyDescent="0.25">
      <c r="A140" s="94"/>
      <c r="B140" s="59"/>
      <c r="D140" s="254" t="s">
        <v>1012</v>
      </c>
      <c r="E140" s="59"/>
      <c r="K140" s="62" t="s">
        <v>145</v>
      </c>
      <c r="AA140" s="94"/>
      <c r="AD140" s="59"/>
      <c r="AE140" s="216"/>
      <c r="AF140" s="216"/>
      <c r="AG140" s="94"/>
      <c r="AH140" s="94"/>
      <c r="AI140" s="94"/>
      <c r="AJ140" s="94"/>
      <c r="AK140" s="94"/>
      <c r="AM140" s="59"/>
      <c r="AN140" s="59"/>
    </row>
    <row r="141" spans="1:106" s="62" customFormat="1" ht="12" x14ac:dyDescent="0.25">
      <c r="A141" s="94"/>
      <c r="B141" s="59"/>
      <c r="D141" s="254" t="s">
        <v>1013</v>
      </c>
      <c r="E141" s="59"/>
      <c r="AA141" s="94"/>
      <c r="AD141" s="59"/>
      <c r="AE141" s="216"/>
      <c r="AF141" s="216"/>
      <c r="AG141" s="94"/>
      <c r="AH141" s="94"/>
      <c r="AI141" s="94"/>
      <c r="AJ141" s="94"/>
      <c r="AK141" s="94"/>
      <c r="AM141" s="59"/>
      <c r="AN141" s="59"/>
    </row>
    <row r="142" spans="1:106" s="62" customFormat="1" ht="12" x14ac:dyDescent="0.25">
      <c r="A142" s="94"/>
      <c r="B142" s="59"/>
      <c r="D142" s="254" t="s">
        <v>1014</v>
      </c>
      <c r="E142" s="59"/>
      <c r="AA142" s="94"/>
      <c r="AD142" s="59"/>
      <c r="AE142" s="216"/>
      <c r="AF142" s="216"/>
      <c r="AG142" s="94"/>
      <c r="AH142" s="94"/>
      <c r="AI142" s="94"/>
      <c r="AJ142" s="94"/>
      <c r="AK142" s="94"/>
      <c r="AM142" s="59"/>
      <c r="AN142" s="59"/>
    </row>
    <row r="143" spans="1:106" s="62" customFormat="1" ht="12" x14ac:dyDescent="0.25">
      <c r="A143" s="94"/>
      <c r="B143" s="59"/>
      <c r="D143" s="254" t="s">
        <v>1015</v>
      </c>
      <c r="E143" s="59"/>
      <c r="AA143" s="94"/>
      <c r="AD143" s="59"/>
      <c r="AE143" s="216"/>
      <c r="AF143" s="216"/>
      <c r="AG143" s="94"/>
      <c r="AH143" s="94"/>
      <c r="AI143" s="94"/>
      <c r="AJ143" s="94"/>
      <c r="AK143" s="94"/>
      <c r="AM143" s="59"/>
      <c r="AN143" s="59"/>
    </row>
    <row r="144" spans="1:106" s="62" customFormat="1" ht="12" x14ac:dyDescent="0.25">
      <c r="A144" s="94"/>
      <c r="B144" s="59"/>
      <c r="D144" s="254" t="s">
        <v>1016</v>
      </c>
      <c r="E144" s="59"/>
      <c r="AA144" s="94"/>
      <c r="AD144" s="59"/>
      <c r="AE144" s="216"/>
      <c r="AF144" s="216"/>
      <c r="AG144" s="94"/>
      <c r="AH144" s="94"/>
      <c r="AI144" s="94"/>
      <c r="AJ144" s="94"/>
      <c r="AK144" s="94"/>
      <c r="AM144" s="59"/>
      <c r="AN144" s="59"/>
    </row>
    <row r="145" spans="1:106" s="62" customFormat="1" ht="12" x14ac:dyDescent="0.25">
      <c r="A145" s="94"/>
      <c r="B145" s="59"/>
      <c r="D145" s="254" t="s">
        <v>1017</v>
      </c>
      <c r="E145" s="59"/>
      <c r="AA145" s="94"/>
      <c r="AD145" s="59"/>
      <c r="AE145" s="216"/>
      <c r="AF145" s="216"/>
      <c r="AG145" s="94"/>
      <c r="AH145" s="94"/>
      <c r="AI145" s="94"/>
      <c r="AJ145" s="94"/>
      <c r="AK145" s="94"/>
      <c r="AM145" s="59"/>
      <c r="AN145" s="59"/>
    </row>
    <row r="146" spans="1:106" s="62" customFormat="1" ht="12" x14ac:dyDescent="0.25">
      <c r="A146" s="94"/>
      <c r="B146" s="59"/>
      <c r="D146" s="254" t="s">
        <v>1018</v>
      </c>
      <c r="E146" s="59"/>
      <c r="AA146" s="94"/>
      <c r="AD146" s="59"/>
      <c r="AE146" s="216"/>
      <c r="AF146" s="216"/>
      <c r="AG146" s="94"/>
      <c r="AH146" s="94"/>
      <c r="AI146" s="94"/>
      <c r="AJ146" s="94"/>
      <c r="AK146" s="94"/>
      <c r="AM146" s="59"/>
      <c r="AN146" s="59"/>
    </row>
    <row r="147" spans="1:106" s="62" customFormat="1" ht="12" x14ac:dyDescent="0.25">
      <c r="A147" s="94"/>
      <c r="B147" s="59"/>
      <c r="D147" s="254" t="s">
        <v>1019</v>
      </c>
      <c r="E147" s="59"/>
      <c r="AA147" s="94"/>
      <c r="AD147" s="59"/>
      <c r="AE147" s="216"/>
      <c r="AF147" s="216"/>
      <c r="AG147" s="94"/>
      <c r="AH147" s="94"/>
      <c r="AI147" s="94"/>
      <c r="AJ147" s="94"/>
      <c r="AK147" s="94"/>
      <c r="AM147" s="59"/>
      <c r="AN147" s="59"/>
    </row>
    <row r="148" spans="1:106" s="62" customFormat="1" ht="12" x14ac:dyDescent="0.25">
      <c r="A148" s="94"/>
      <c r="B148" s="59"/>
      <c r="D148" s="254"/>
      <c r="E148" s="59"/>
      <c r="AA148" s="94"/>
      <c r="AD148" s="59"/>
      <c r="AE148" s="216"/>
      <c r="AF148" s="216"/>
      <c r="AG148" s="94"/>
      <c r="AH148" s="94"/>
      <c r="AI148" s="94"/>
      <c r="AJ148" s="94"/>
      <c r="AK148" s="94"/>
      <c r="AM148" s="59"/>
      <c r="AN148" s="59"/>
    </row>
    <row r="149" spans="1:106" s="62" customFormat="1" ht="13" x14ac:dyDescent="0.25">
      <c r="A149" s="94"/>
      <c r="B149" s="59"/>
      <c r="D149" s="254" t="s">
        <v>1020</v>
      </c>
      <c r="E149" s="59"/>
      <c r="AA149" s="94"/>
      <c r="AD149" s="59"/>
      <c r="AE149" s="216"/>
      <c r="AF149" s="216"/>
      <c r="AG149" s="94"/>
      <c r="AH149" s="94"/>
      <c r="AI149" s="94"/>
      <c r="AJ149" s="94"/>
      <c r="AK149" s="94"/>
      <c r="AM149" s="59"/>
      <c r="AN149" s="59"/>
    </row>
    <row r="150" spans="1:106" s="62" customFormat="1" ht="12" x14ac:dyDescent="0.25">
      <c r="A150" s="94"/>
      <c r="B150" s="59"/>
      <c r="D150" s="254" t="s">
        <v>1021</v>
      </c>
      <c r="E150" s="59"/>
      <c r="AA150" s="94"/>
      <c r="AD150" s="59"/>
      <c r="AE150" s="216"/>
      <c r="AF150" s="216"/>
      <c r="AG150" s="94"/>
      <c r="AH150" s="94"/>
      <c r="AI150" s="94"/>
      <c r="AJ150" s="94"/>
      <c r="AK150" s="94"/>
      <c r="AM150" s="59"/>
      <c r="AN150" s="59"/>
    </row>
    <row r="151" spans="1:106" s="62" customFormat="1" ht="12" x14ac:dyDescent="0.25">
      <c r="A151" s="94"/>
      <c r="B151" s="59"/>
      <c r="D151" s="254" t="s">
        <v>1022</v>
      </c>
      <c r="E151" s="59"/>
      <c r="AA151" s="94"/>
      <c r="AD151" s="59"/>
      <c r="AE151" s="216"/>
      <c r="AF151" s="216"/>
      <c r="AG151" s="94"/>
      <c r="AH151" s="94"/>
      <c r="AI151" s="94"/>
      <c r="AJ151" s="94"/>
      <c r="AK151" s="94"/>
      <c r="AM151" s="59"/>
      <c r="AN151" s="59"/>
    </row>
    <row r="152" spans="1:106" s="62" customFormat="1" ht="10" x14ac:dyDescent="0.25">
      <c r="A152" s="94"/>
      <c r="B152" s="59"/>
      <c r="E152" s="59"/>
      <c r="AA152" s="94"/>
      <c r="AD152" s="59"/>
      <c r="AE152" s="216"/>
      <c r="AF152" s="216"/>
      <c r="AG152" s="94"/>
      <c r="AH152" s="94"/>
      <c r="AI152" s="94"/>
      <c r="AJ152" s="94"/>
      <c r="AK152" s="94"/>
      <c r="AM152" s="59"/>
      <c r="AN152" s="59"/>
    </row>
    <row r="153" spans="1:106" s="62" customFormat="1" ht="10" x14ac:dyDescent="0.25">
      <c r="A153" s="94"/>
      <c r="B153" s="59"/>
      <c r="E153" s="59"/>
      <c r="AA153" s="94"/>
      <c r="AD153" s="59"/>
      <c r="AE153" s="216"/>
      <c r="AF153" s="216"/>
      <c r="AG153" s="94"/>
      <c r="AH153" s="94"/>
      <c r="AI153" s="94"/>
      <c r="AJ153" s="94"/>
      <c r="AK153" s="94"/>
      <c r="AM153" s="59"/>
      <c r="AN153" s="59"/>
    </row>
    <row r="154" spans="1:106" s="62" customFormat="1" ht="10" x14ac:dyDescent="0.25">
      <c r="A154" s="94"/>
      <c r="B154" s="59"/>
      <c r="E154" s="59"/>
      <c r="AA154" s="94"/>
      <c r="AD154" s="59"/>
      <c r="AE154" s="216"/>
      <c r="AF154" s="216"/>
      <c r="AG154" s="94"/>
      <c r="AH154" s="94"/>
      <c r="AI154" s="94"/>
      <c r="AJ154" s="94"/>
      <c r="AK154" s="94"/>
      <c r="AM154" s="59"/>
      <c r="AN154" s="59"/>
    </row>
    <row r="155" spans="1:106" s="62" customFormat="1" ht="10" x14ac:dyDescent="0.25">
      <c r="A155" s="94"/>
      <c r="B155" s="59"/>
      <c r="E155" s="59"/>
      <c r="AA155" s="94"/>
      <c r="AD155" s="59"/>
      <c r="AE155" s="216"/>
      <c r="AF155" s="216"/>
      <c r="AG155" s="94"/>
      <c r="AH155" s="94"/>
      <c r="AI155" s="94"/>
      <c r="AJ155" s="94"/>
      <c r="AK155" s="94"/>
      <c r="AM155" s="59"/>
      <c r="AN155" s="59"/>
    </row>
    <row r="156" spans="1:106" s="62" customFormat="1" ht="10" x14ac:dyDescent="0.25">
      <c r="A156" s="94"/>
      <c r="B156" s="59"/>
      <c r="E156" s="59"/>
      <c r="AA156" s="94"/>
      <c r="AD156" s="59"/>
      <c r="AE156" s="216"/>
      <c r="AF156" s="216"/>
      <c r="AG156" s="94"/>
      <c r="AH156" s="94"/>
      <c r="AI156" s="94"/>
      <c r="AJ156" s="94"/>
      <c r="AK156" s="94"/>
      <c r="AM156" s="59"/>
      <c r="AN156" s="59"/>
    </row>
    <row r="157" spans="1:106" s="62" customFormat="1" ht="10" x14ac:dyDescent="0.25">
      <c r="A157" s="94"/>
      <c r="B157" s="59"/>
      <c r="E157" s="59"/>
      <c r="AA157" s="94"/>
      <c r="AD157" s="59"/>
      <c r="AE157" s="216"/>
      <c r="AF157" s="216"/>
      <c r="AG157" s="94"/>
      <c r="AH157" s="94"/>
      <c r="AI157" s="94"/>
      <c r="AJ157" s="94"/>
      <c r="AK157" s="94"/>
      <c r="AM157" s="59"/>
      <c r="AN157" s="59"/>
    </row>
    <row r="158" spans="1:106" s="62" customFormat="1" ht="10" x14ac:dyDescent="0.25">
      <c r="A158" s="94"/>
      <c r="B158" s="59"/>
      <c r="E158" s="59"/>
      <c r="AA158" s="94"/>
      <c r="AD158" s="59"/>
      <c r="AE158" s="216"/>
      <c r="AF158" s="216"/>
      <c r="AG158" s="94"/>
      <c r="AH158" s="94"/>
      <c r="AI158" s="94"/>
      <c r="AJ158" s="94"/>
      <c r="AK158" s="94"/>
      <c r="AM158" s="59"/>
      <c r="AN158" s="59"/>
    </row>
    <row r="159" spans="1:106" s="62" customFormat="1" ht="10" x14ac:dyDescent="0.25">
      <c r="A159" s="94"/>
      <c r="B159" s="59"/>
      <c r="E159" s="59"/>
      <c r="AA159" s="94"/>
      <c r="AD159" s="59"/>
      <c r="AE159" s="216"/>
      <c r="AF159" s="216"/>
      <c r="AG159" s="94"/>
      <c r="AH159" s="94"/>
      <c r="AI159" s="94"/>
      <c r="AJ159" s="94"/>
      <c r="AK159" s="94"/>
      <c r="AM159" s="59"/>
      <c r="AN159" s="59"/>
    </row>
    <row r="160" spans="1:106" s="62" customFormat="1" ht="10" x14ac:dyDescent="0.25">
      <c r="A160" s="253"/>
      <c r="B160" s="59"/>
      <c r="E160" s="59"/>
      <c r="AA160" s="94"/>
      <c r="AD160" s="59"/>
      <c r="AE160" s="216"/>
      <c r="AF160" s="216"/>
      <c r="AG160" s="94"/>
      <c r="AH160" s="94"/>
      <c r="AI160" s="94"/>
      <c r="AJ160" s="94"/>
      <c r="AK160" s="94"/>
      <c r="AM160" s="59"/>
      <c r="AN160" s="59"/>
      <c r="AY160" s="218"/>
      <c r="AZ160" s="218"/>
      <c r="BA160" s="218"/>
      <c r="BB160" s="218"/>
      <c r="BC160" s="218"/>
      <c r="BD160" s="218"/>
      <c r="BE160" s="218"/>
      <c r="BF160" s="218"/>
      <c r="BG160" s="218"/>
      <c r="CK160" s="218"/>
      <c r="CL160" s="218"/>
      <c r="CM160" s="218"/>
      <c r="CN160" s="218"/>
      <c r="CO160" s="218"/>
      <c r="CP160" s="218"/>
      <c r="CQ160" s="218"/>
      <c r="CR160" s="218"/>
      <c r="CS160" s="218"/>
      <c r="CT160" s="218"/>
      <c r="CU160" s="218"/>
      <c r="CV160" s="218"/>
      <c r="CW160" s="218"/>
      <c r="CX160" s="218"/>
      <c r="CY160" s="218"/>
      <c r="CZ160" s="218"/>
      <c r="DA160" s="218"/>
      <c r="DB160" s="218"/>
    </row>
    <row r="161" spans="1:50" s="218" customFormat="1" ht="10" x14ac:dyDescent="0.25">
      <c r="A161" s="255"/>
      <c r="B161" s="59"/>
      <c r="C161" s="62"/>
      <c r="D161" s="62"/>
      <c r="E161" s="59"/>
      <c r="F161" s="62"/>
      <c r="G161" s="62"/>
      <c r="H161" s="62"/>
      <c r="I161" s="62"/>
      <c r="J161" s="62"/>
      <c r="K161" s="62"/>
      <c r="L161" s="62"/>
      <c r="M161" s="62"/>
      <c r="N161" s="62"/>
      <c r="O161" s="62"/>
      <c r="P161" s="62"/>
      <c r="Q161" s="62"/>
      <c r="R161" s="62"/>
      <c r="S161" s="62"/>
      <c r="T161" s="62"/>
      <c r="U161" s="62"/>
      <c r="V161" s="62"/>
      <c r="W161" s="62"/>
      <c r="X161" s="62"/>
      <c r="Y161" s="62"/>
      <c r="Z161" s="62"/>
      <c r="AA161" s="94"/>
      <c r="AB161" s="62"/>
      <c r="AC161" s="62"/>
      <c r="AD161" s="59"/>
      <c r="AE161" s="216"/>
      <c r="AF161" s="216"/>
      <c r="AG161" s="94"/>
      <c r="AH161" s="94"/>
      <c r="AI161" s="94"/>
      <c r="AJ161" s="94"/>
      <c r="AK161" s="94"/>
      <c r="AL161" s="62"/>
      <c r="AM161" s="59"/>
      <c r="AN161" s="59"/>
      <c r="AO161" s="62"/>
      <c r="AP161" s="62"/>
      <c r="AQ161" s="62"/>
      <c r="AR161" s="62"/>
      <c r="AS161" s="62"/>
      <c r="AT161" s="62"/>
      <c r="AU161" s="62"/>
      <c r="AV161" s="62"/>
      <c r="AW161" s="62"/>
      <c r="AX161" s="62"/>
    </row>
    <row r="162" spans="1:50" s="218" customFormat="1" ht="10" x14ac:dyDescent="0.25">
      <c r="A162" s="255"/>
      <c r="B162" s="59"/>
      <c r="C162" s="62"/>
      <c r="D162" s="62"/>
      <c r="E162" s="59"/>
      <c r="F162" s="62"/>
      <c r="G162" s="62"/>
      <c r="H162" s="62"/>
      <c r="I162" s="62"/>
      <c r="J162" s="62"/>
      <c r="K162" s="62"/>
      <c r="L162" s="62"/>
      <c r="M162" s="62"/>
      <c r="N162" s="62"/>
      <c r="O162" s="62"/>
      <c r="P162" s="62"/>
      <c r="Q162" s="62"/>
      <c r="R162" s="62"/>
      <c r="S162" s="62"/>
      <c r="T162" s="62"/>
      <c r="U162" s="62"/>
      <c r="V162" s="62"/>
      <c r="W162" s="62"/>
      <c r="X162" s="62"/>
      <c r="Y162" s="62"/>
      <c r="Z162" s="62"/>
      <c r="AA162" s="94"/>
      <c r="AB162" s="62"/>
      <c r="AC162" s="62"/>
      <c r="AD162" s="59"/>
      <c r="AE162" s="216"/>
      <c r="AF162" s="216"/>
      <c r="AG162" s="94"/>
      <c r="AH162" s="94"/>
      <c r="AI162" s="94"/>
      <c r="AJ162" s="94"/>
      <c r="AK162" s="94"/>
      <c r="AL162" s="62"/>
      <c r="AM162" s="59"/>
      <c r="AN162" s="59"/>
      <c r="AO162" s="62"/>
      <c r="AP162" s="62"/>
      <c r="AQ162" s="62"/>
      <c r="AR162" s="62"/>
      <c r="AS162" s="62"/>
      <c r="AT162" s="62"/>
      <c r="AU162" s="62"/>
      <c r="AV162" s="62"/>
      <c r="AW162" s="62"/>
      <c r="AX162" s="62"/>
    </row>
    <row r="163" spans="1:50" s="218" customFormat="1" ht="10" x14ac:dyDescent="0.25">
      <c r="A163" s="255"/>
      <c r="B163" s="59"/>
      <c r="C163" s="62"/>
      <c r="D163" s="62"/>
      <c r="E163" s="59"/>
      <c r="F163" s="62"/>
      <c r="G163" s="62"/>
      <c r="H163" s="62"/>
      <c r="I163" s="62"/>
      <c r="J163" s="62"/>
      <c r="K163" s="62"/>
      <c r="L163" s="62"/>
      <c r="M163" s="62"/>
      <c r="N163" s="62"/>
      <c r="O163" s="62"/>
      <c r="P163" s="62"/>
      <c r="Q163" s="62"/>
      <c r="R163" s="62"/>
      <c r="S163" s="62"/>
      <c r="T163" s="62"/>
      <c r="U163" s="62"/>
      <c r="V163" s="62"/>
      <c r="W163" s="62"/>
      <c r="X163" s="62"/>
      <c r="Y163" s="62"/>
      <c r="Z163" s="62"/>
      <c r="AA163" s="94"/>
      <c r="AB163" s="62"/>
      <c r="AC163" s="62"/>
      <c r="AD163" s="59"/>
      <c r="AE163" s="216"/>
      <c r="AF163" s="216"/>
      <c r="AG163" s="94"/>
      <c r="AH163" s="94"/>
      <c r="AI163" s="94"/>
      <c r="AJ163" s="94"/>
      <c r="AK163" s="94"/>
      <c r="AL163" s="62"/>
      <c r="AM163" s="59"/>
      <c r="AN163" s="59"/>
      <c r="AO163" s="62"/>
      <c r="AP163" s="62"/>
      <c r="AQ163" s="62"/>
      <c r="AR163" s="62"/>
      <c r="AS163" s="62"/>
      <c r="AT163" s="62"/>
      <c r="AU163" s="62"/>
      <c r="AV163" s="62"/>
      <c r="AW163" s="62"/>
      <c r="AX163" s="62"/>
    </row>
    <row r="164" spans="1:50" s="218" customFormat="1" ht="10" x14ac:dyDescent="0.25">
      <c r="A164" s="255"/>
      <c r="B164" s="59"/>
      <c r="C164" s="62"/>
      <c r="D164" s="62"/>
      <c r="E164" s="59"/>
      <c r="F164" s="62"/>
      <c r="G164" s="62"/>
      <c r="H164" s="62"/>
      <c r="I164" s="62"/>
      <c r="J164" s="62"/>
      <c r="K164" s="62"/>
      <c r="L164" s="62"/>
      <c r="M164" s="62"/>
      <c r="N164" s="62"/>
      <c r="O164" s="62"/>
      <c r="P164" s="62"/>
      <c r="Q164" s="62"/>
      <c r="R164" s="62"/>
      <c r="S164" s="62"/>
      <c r="T164" s="62"/>
      <c r="U164" s="62"/>
      <c r="V164" s="62"/>
      <c r="W164" s="62"/>
      <c r="X164" s="62"/>
      <c r="Y164" s="62"/>
      <c r="Z164" s="62"/>
      <c r="AA164" s="94"/>
      <c r="AB164" s="62"/>
      <c r="AC164" s="62"/>
      <c r="AD164" s="59"/>
      <c r="AE164" s="216"/>
      <c r="AF164" s="216"/>
      <c r="AG164" s="94"/>
      <c r="AH164" s="94"/>
      <c r="AI164" s="94"/>
      <c r="AJ164" s="94"/>
      <c r="AK164" s="94"/>
      <c r="AL164" s="62"/>
      <c r="AM164" s="59"/>
      <c r="AN164" s="59"/>
      <c r="AO164" s="62"/>
      <c r="AP164" s="62"/>
      <c r="AQ164" s="62"/>
      <c r="AR164" s="62"/>
      <c r="AS164" s="62"/>
      <c r="AT164" s="62"/>
      <c r="AU164" s="62"/>
      <c r="AV164" s="62"/>
      <c r="AW164" s="62"/>
      <c r="AX164" s="62"/>
    </row>
    <row r="165" spans="1:50" s="218" customFormat="1" ht="10" x14ac:dyDescent="0.25">
      <c r="A165" s="255"/>
      <c r="B165" s="59"/>
      <c r="C165" s="62"/>
      <c r="D165" s="62"/>
      <c r="E165" s="59"/>
      <c r="F165" s="62"/>
      <c r="G165" s="62"/>
      <c r="H165" s="62"/>
      <c r="I165" s="62"/>
      <c r="J165" s="62"/>
      <c r="K165" s="62"/>
      <c r="L165" s="62"/>
      <c r="M165" s="62"/>
      <c r="N165" s="62"/>
      <c r="O165" s="62"/>
      <c r="P165" s="62"/>
      <c r="Q165" s="62"/>
      <c r="R165" s="62"/>
      <c r="S165" s="62"/>
      <c r="T165" s="62"/>
      <c r="U165" s="62"/>
      <c r="V165" s="62"/>
      <c r="W165" s="62"/>
      <c r="X165" s="62"/>
      <c r="Y165" s="62"/>
      <c r="Z165" s="62"/>
      <c r="AA165" s="94"/>
      <c r="AB165" s="62"/>
      <c r="AC165" s="62"/>
      <c r="AD165" s="59"/>
      <c r="AE165" s="216"/>
      <c r="AF165" s="216"/>
      <c r="AG165" s="94"/>
      <c r="AH165" s="94"/>
      <c r="AI165" s="94"/>
      <c r="AJ165" s="94"/>
      <c r="AK165" s="94"/>
      <c r="AL165" s="62"/>
      <c r="AM165" s="59"/>
      <c r="AN165" s="59"/>
      <c r="AO165" s="62"/>
      <c r="AP165" s="62"/>
      <c r="AQ165" s="62"/>
      <c r="AR165" s="62"/>
      <c r="AS165" s="62"/>
      <c r="AT165" s="62"/>
      <c r="AU165" s="62"/>
      <c r="AV165" s="62"/>
      <c r="AW165" s="62"/>
      <c r="AX165" s="62"/>
    </row>
    <row r="166" spans="1:50" s="218" customFormat="1" ht="10" x14ac:dyDescent="0.25">
      <c r="A166" s="255"/>
      <c r="B166" s="59"/>
      <c r="C166" s="62"/>
      <c r="D166" s="62"/>
      <c r="E166" s="59"/>
      <c r="F166" s="62"/>
      <c r="G166" s="62"/>
      <c r="H166" s="62"/>
      <c r="I166" s="62"/>
      <c r="J166" s="62"/>
      <c r="K166" s="62"/>
      <c r="L166" s="62"/>
      <c r="M166" s="62"/>
      <c r="N166" s="62"/>
      <c r="O166" s="62"/>
      <c r="P166" s="62"/>
      <c r="Q166" s="62"/>
      <c r="R166" s="62"/>
      <c r="S166" s="62"/>
      <c r="T166" s="62"/>
      <c r="U166" s="62"/>
      <c r="V166" s="62"/>
      <c r="W166" s="62"/>
      <c r="X166" s="62"/>
      <c r="Y166" s="62"/>
      <c r="Z166" s="62"/>
      <c r="AA166" s="94"/>
      <c r="AB166" s="62"/>
      <c r="AC166" s="62"/>
      <c r="AD166" s="59"/>
      <c r="AE166" s="216"/>
      <c r="AF166" s="216"/>
      <c r="AG166" s="94"/>
      <c r="AH166" s="94"/>
      <c r="AI166" s="94"/>
      <c r="AJ166" s="94"/>
      <c r="AK166" s="94"/>
      <c r="AL166" s="62"/>
      <c r="AM166" s="59"/>
      <c r="AN166" s="59"/>
      <c r="AO166" s="62"/>
      <c r="AP166" s="62"/>
      <c r="AQ166" s="62"/>
      <c r="AR166" s="62"/>
      <c r="AS166" s="62"/>
      <c r="AT166" s="62"/>
      <c r="AU166" s="62"/>
      <c r="AV166" s="62"/>
      <c r="AW166" s="62"/>
      <c r="AX166" s="62"/>
    </row>
    <row r="167" spans="1:50" s="218" customFormat="1" ht="10" x14ac:dyDescent="0.25">
      <c r="A167" s="255"/>
      <c r="B167" s="59"/>
      <c r="C167" s="62"/>
      <c r="D167" s="62"/>
      <c r="E167" s="59"/>
      <c r="F167" s="62"/>
      <c r="G167" s="62"/>
      <c r="H167" s="62"/>
      <c r="I167" s="62"/>
      <c r="J167" s="62"/>
      <c r="K167" s="62"/>
      <c r="L167" s="62"/>
      <c r="M167" s="62"/>
      <c r="N167" s="62"/>
      <c r="O167" s="62"/>
      <c r="P167" s="62"/>
      <c r="Q167" s="62"/>
      <c r="R167" s="62"/>
      <c r="S167" s="62"/>
      <c r="T167" s="62"/>
      <c r="U167" s="62"/>
      <c r="V167" s="62"/>
      <c r="W167" s="62"/>
      <c r="X167" s="62"/>
      <c r="Y167" s="62"/>
      <c r="Z167" s="62"/>
      <c r="AA167" s="94"/>
      <c r="AB167" s="62"/>
      <c r="AC167" s="62"/>
      <c r="AD167" s="59"/>
      <c r="AE167" s="216"/>
      <c r="AF167" s="216"/>
      <c r="AG167" s="94"/>
      <c r="AH167" s="94"/>
      <c r="AI167" s="94"/>
      <c r="AJ167" s="94"/>
      <c r="AK167" s="94"/>
      <c r="AL167" s="62"/>
      <c r="AM167" s="59"/>
      <c r="AN167" s="59"/>
      <c r="AO167" s="62"/>
      <c r="AP167" s="62"/>
      <c r="AQ167" s="62"/>
      <c r="AR167" s="62"/>
      <c r="AS167" s="62"/>
      <c r="AT167" s="62"/>
      <c r="AU167" s="62"/>
      <c r="AV167" s="62"/>
      <c r="AW167" s="62"/>
      <c r="AX167" s="62"/>
    </row>
    <row r="168" spans="1:50" s="218" customFormat="1" ht="10" x14ac:dyDescent="0.25">
      <c r="A168" s="255"/>
      <c r="B168" s="59"/>
      <c r="C168" s="62"/>
      <c r="D168" s="62"/>
      <c r="E168" s="59"/>
      <c r="F168" s="62"/>
      <c r="G168" s="62"/>
      <c r="H168" s="62"/>
      <c r="I168" s="62"/>
      <c r="J168" s="62"/>
      <c r="K168" s="62"/>
      <c r="L168" s="62"/>
      <c r="M168" s="62"/>
      <c r="N168" s="62"/>
      <c r="O168" s="62"/>
      <c r="P168" s="62"/>
      <c r="Q168" s="62"/>
      <c r="R168" s="62"/>
      <c r="S168" s="62"/>
      <c r="T168" s="62"/>
      <c r="U168" s="62"/>
      <c r="V168" s="62"/>
      <c r="W168" s="62"/>
      <c r="X168" s="62"/>
      <c r="Y168" s="62"/>
      <c r="Z168" s="62"/>
      <c r="AA168" s="94"/>
      <c r="AB168" s="62"/>
      <c r="AC168" s="62"/>
      <c r="AD168" s="59"/>
      <c r="AE168" s="216"/>
      <c r="AF168" s="216"/>
      <c r="AG168" s="94"/>
      <c r="AH168" s="94"/>
      <c r="AI168" s="94"/>
      <c r="AJ168" s="94"/>
      <c r="AK168" s="94"/>
      <c r="AL168" s="62"/>
      <c r="AM168" s="59"/>
      <c r="AN168" s="59"/>
      <c r="AO168" s="62"/>
      <c r="AP168" s="62"/>
      <c r="AQ168" s="62"/>
      <c r="AR168" s="62"/>
      <c r="AS168" s="62"/>
      <c r="AT168" s="62"/>
      <c r="AU168" s="62"/>
      <c r="AV168" s="62"/>
      <c r="AW168" s="62"/>
      <c r="AX168" s="62"/>
    </row>
    <row r="169" spans="1:50" s="218" customFormat="1" ht="10" x14ac:dyDescent="0.25">
      <c r="A169" s="255"/>
      <c r="B169" s="59"/>
      <c r="C169" s="62"/>
      <c r="D169" s="62"/>
      <c r="E169" s="59"/>
      <c r="F169" s="62"/>
      <c r="G169" s="62"/>
      <c r="H169" s="62"/>
      <c r="I169" s="62"/>
      <c r="J169" s="62"/>
      <c r="K169" s="62"/>
      <c r="L169" s="62"/>
      <c r="M169" s="62"/>
      <c r="N169" s="62"/>
      <c r="O169" s="62"/>
      <c r="P169" s="62"/>
      <c r="Q169" s="62"/>
      <c r="R169" s="62"/>
      <c r="S169" s="62"/>
      <c r="T169" s="62"/>
      <c r="U169" s="62"/>
      <c r="V169" s="62"/>
      <c r="W169" s="62"/>
      <c r="X169" s="62"/>
      <c r="Y169" s="62"/>
      <c r="Z169" s="62"/>
      <c r="AA169" s="94"/>
      <c r="AB169" s="62"/>
      <c r="AC169" s="62"/>
      <c r="AD169" s="59"/>
      <c r="AE169" s="216"/>
      <c r="AF169" s="216"/>
      <c r="AG169" s="94"/>
      <c r="AH169" s="94"/>
      <c r="AI169" s="94"/>
      <c r="AJ169" s="94"/>
      <c r="AK169" s="94"/>
      <c r="AL169" s="62"/>
      <c r="AM169" s="59"/>
      <c r="AN169" s="59"/>
      <c r="AO169" s="62"/>
      <c r="AP169" s="62"/>
      <c r="AQ169" s="62"/>
      <c r="AR169" s="62"/>
      <c r="AS169" s="62"/>
      <c r="AT169" s="62"/>
      <c r="AU169" s="62"/>
      <c r="AV169" s="62"/>
      <c r="AW169" s="62"/>
      <c r="AX169" s="62"/>
    </row>
    <row r="170" spans="1:50" s="218" customFormat="1" ht="10" x14ac:dyDescent="0.25">
      <c r="A170" s="255"/>
      <c r="B170" s="59"/>
      <c r="C170" s="59"/>
      <c r="D170" s="62"/>
      <c r="E170" s="59"/>
      <c r="F170" s="62"/>
      <c r="G170" s="62"/>
      <c r="H170" s="62"/>
      <c r="I170" s="62"/>
      <c r="J170" s="62"/>
      <c r="K170" s="62"/>
      <c r="L170" s="62"/>
      <c r="M170" s="62"/>
      <c r="N170" s="62"/>
      <c r="O170" s="62"/>
      <c r="P170" s="62"/>
      <c r="Q170" s="59"/>
      <c r="R170" s="59"/>
      <c r="S170" s="59"/>
      <c r="T170" s="59"/>
      <c r="U170" s="59"/>
      <c r="V170" s="59"/>
      <c r="W170" s="59"/>
      <c r="X170" s="59"/>
      <c r="Y170" s="59"/>
      <c r="Z170" s="59"/>
      <c r="AA170" s="73"/>
      <c r="AB170" s="59"/>
      <c r="AC170" s="59"/>
      <c r="AD170" s="59"/>
      <c r="AE170" s="216"/>
      <c r="AF170" s="216"/>
      <c r="AG170" s="94"/>
      <c r="AH170" s="94"/>
      <c r="AI170" s="94"/>
      <c r="AJ170" s="94"/>
      <c r="AK170" s="94"/>
      <c r="AL170" s="62"/>
      <c r="AM170" s="59"/>
      <c r="AN170" s="59"/>
      <c r="AO170" s="62"/>
      <c r="AP170" s="62"/>
      <c r="AQ170" s="62"/>
      <c r="AR170" s="62"/>
      <c r="AS170" s="62"/>
      <c r="AT170" s="62"/>
      <c r="AU170" s="62"/>
      <c r="AV170" s="62"/>
      <c r="AW170" s="62"/>
      <c r="AX170" s="62"/>
    </row>
    <row r="171" spans="1:50" s="218" customFormat="1" ht="10" x14ac:dyDescent="0.25">
      <c r="A171" s="255"/>
      <c r="B171" s="59"/>
      <c r="C171" s="59"/>
      <c r="D171" s="62"/>
      <c r="E171" s="59"/>
      <c r="F171" s="62"/>
      <c r="G171" s="62"/>
      <c r="H171" s="62"/>
      <c r="I171" s="62"/>
      <c r="J171" s="62"/>
      <c r="K171" s="62"/>
      <c r="L171" s="62"/>
      <c r="M171" s="62"/>
      <c r="N171" s="62"/>
      <c r="O171" s="62"/>
      <c r="P171" s="62"/>
      <c r="Q171" s="59"/>
      <c r="R171" s="59"/>
      <c r="S171" s="59"/>
      <c r="T171" s="59"/>
      <c r="U171" s="59"/>
      <c r="V171" s="59"/>
      <c r="W171" s="59"/>
      <c r="X171" s="59"/>
      <c r="Y171" s="59"/>
      <c r="Z171" s="59"/>
      <c r="AA171" s="73"/>
      <c r="AB171" s="59"/>
      <c r="AC171" s="59"/>
      <c r="AD171" s="59"/>
      <c r="AE171" s="216"/>
      <c r="AF171" s="216"/>
      <c r="AG171" s="94"/>
      <c r="AH171" s="94"/>
      <c r="AI171" s="94"/>
      <c r="AJ171" s="94"/>
      <c r="AK171" s="94"/>
      <c r="AL171" s="62"/>
      <c r="AM171" s="59"/>
      <c r="AN171" s="59"/>
      <c r="AO171" s="62"/>
      <c r="AP171" s="62"/>
      <c r="AQ171" s="62"/>
      <c r="AR171" s="62"/>
      <c r="AS171" s="62"/>
      <c r="AT171" s="62"/>
      <c r="AU171" s="62"/>
      <c r="AV171" s="62"/>
      <c r="AW171" s="62"/>
      <c r="AX171" s="62"/>
    </row>
    <row r="172" spans="1:50" s="218" customFormat="1" ht="10" x14ac:dyDescent="0.25">
      <c r="A172" s="255"/>
      <c r="B172" s="59"/>
      <c r="C172" s="59"/>
      <c r="D172" s="62"/>
      <c r="E172" s="59"/>
      <c r="F172" s="62"/>
      <c r="G172" s="62"/>
      <c r="H172" s="62"/>
      <c r="I172" s="62"/>
      <c r="J172" s="62"/>
      <c r="K172" s="62"/>
      <c r="L172" s="62"/>
      <c r="M172" s="62"/>
      <c r="N172" s="62"/>
      <c r="O172" s="62"/>
      <c r="P172" s="62"/>
      <c r="Q172" s="59"/>
      <c r="R172" s="59"/>
      <c r="S172" s="59"/>
      <c r="T172" s="59"/>
      <c r="U172" s="59"/>
      <c r="V172" s="59"/>
      <c r="W172" s="59"/>
      <c r="X172" s="59"/>
      <c r="Y172" s="59"/>
      <c r="Z172" s="59"/>
      <c r="AA172" s="73"/>
      <c r="AB172" s="59"/>
      <c r="AC172" s="59"/>
      <c r="AD172" s="59"/>
      <c r="AE172" s="216"/>
      <c r="AF172" s="216"/>
      <c r="AG172" s="94"/>
      <c r="AH172" s="94"/>
      <c r="AI172" s="94"/>
      <c r="AJ172" s="94"/>
      <c r="AK172" s="94"/>
      <c r="AL172" s="62"/>
      <c r="AM172" s="59"/>
      <c r="AN172" s="59"/>
      <c r="AO172" s="62"/>
      <c r="AP172" s="62"/>
      <c r="AQ172" s="62"/>
      <c r="AR172" s="62"/>
      <c r="AS172" s="62"/>
      <c r="AT172" s="62"/>
      <c r="AU172" s="62"/>
      <c r="AV172" s="62"/>
      <c r="AW172" s="62"/>
      <c r="AX172" s="62"/>
    </row>
    <row r="173" spans="1:50" s="218" customFormat="1" ht="10" x14ac:dyDescent="0.25">
      <c r="A173" s="255"/>
      <c r="B173" s="59"/>
      <c r="C173" s="59"/>
      <c r="D173" s="62"/>
      <c r="E173" s="59"/>
      <c r="F173" s="62"/>
      <c r="G173" s="62"/>
      <c r="H173" s="62"/>
      <c r="I173" s="62"/>
      <c r="J173" s="62"/>
      <c r="K173" s="62"/>
      <c r="L173" s="62"/>
      <c r="M173" s="62"/>
      <c r="N173" s="62"/>
      <c r="O173" s="62"/>
      <c r="P173" s="62"/>
      <c r="Q173" s="59"/>
      <c r="R173" s="59"/>
      <c r="S173" s="59"/>
      <c r="T173" s="59"/>
      <c r="U173" s="59"/>
      <c r="V173" s="59"/>
      <c r="W173" s="59"/>
      <c r="X173" s="59"/>
      <c r="Y173" s="59"/>
      <c r="Z173" s="59"/>
      <c r="AA173" s="73"/>
      <c r="AB173" s="59"/>
      <c r="AC173" s="59"/>
      <c r="AD173" s="59"/>
      <c r="AE173" s="216"/>
      <c r="AF173" s="216"/>
      <c r="AG173" s="94"/>
      <c r="AH173" s="94"/>
      <c r="AI173" s="94"/>
      <c r="AJ173" s="94"/>
      <c r="AK173" s="94"/>
      <c r="AL173" s="62"/>
      <c r="AM173" s="59"/>
      <c r="AN173" s="59"/>
      <c r="AO173" s="62"/>
      <c r="AP173" s="62"/>
      <c r="AQ173" s="62"/>
      <c r="AR173" s="62"/>
      <c r="AS173" s="62"/>
      <c r="AT173" s="62"/>
      <c r="AU173" s="62"/>
      <c r="AV173" s="62"/>
      <c r="AW173" s="62"/>
      <c r="AX173" s="62"/>
    </row>
    <row r="174" spans="1:50" s="218" customFormat="1" ht="10" x14ac:dyDescent="0.25">
      <c r="A174" s="255"/>
      <c r="B174" s="59"/>
      <c r="C174" s="59"/>
      <c r="D174" s="62"/>
      <c r="E174" s="59"/>
      <c r="F174" s="62"/>
      <c r="G174" s="62"/>
      <c r="H174" s="62"/>
      <c r="I174" s="62"/>
      <c r="J174" s="62"/>
      <c r="K174" s="62"/>
      <c r="L174" s="62"/>
      <c r="M174" s="62"/>
      <c r="N174" s="62"/>
      <c r="O174" s="62"/>
      <c r="P174" s="62"/>
      <c r="Q174" s="59"/>
      <c r="R174" s="59"/>
      <c r="S174" s="59"/>
      <c r="T174" s="59"/>
      <c r="U174" s="59"/>
      <c r="V174" s="59"/>
      <c r="W174" s="59"/>
      <c r="X174" s="59"/>
      <c r="Y174" s="59"/>
      <c r="Z174" s="59"/>
      <c r="AA174" s="73"/>
      <c r="AB174" s="59"/>
      <c r="AC174" s="59"/>
      <c r="AD174" s="59"/>
      <c r="AE174" s="216"/>
      <c r="AF174" s="216"/>
      <c r="AG174" s="94"/>
      <c r="AH174" s="94"/>
      <c r="AI174" s="94"/>
      <c r="AJ174" s="94"/>
      <c r="AK174" s="94"/>
      <c r="AL174" s="62"/>
      <c r="AM174" s="59"/>
      <c r="AN174" s="59"/>
      <c r="AO174" s="62"/>
      <c r="AP174" s="62"/>
      <c r="AQ174" s="62"/>
      <c r="AR174" s="62"/>
      <c r="AS174" s="62"/>
      <c r="AT174" s="62"/>
      <c r="AU174" s="62"/>
      <c r="AV174" s="62"/>
      <c r="AW174" s="62"/>
      <c r="AX174" s="62"/>
    </row>
    <row r="175" spans="1:50" s="218" customFormat="1" ht="10" x14ac:dyDescent="0.25">
      <c r="A175" s="255"/>
      <c r="B175" s="59"/>
      <c r="C175" s="59"/>
      <c r="D175" s="62"/>
      <c r="E175" s="59"/>
      <c r="F175" s="62"/>
      <c r="G175" s="62"/>
      <c r="H175" s="62"/>
      <c r="I175" s="62"/>
      <c r="J175" s="62"/>
      <c r="K175" s="62"/>
      <c r="L175" s="62"/>
      <c r="M175" s="62"/>
      <c r="N175" s="62"/>
      <c r="O175" s="62"/>
      <c r="P175" s="62"/>
      <c r="Q175" s="59"/>
      <c r="R175" s="59"/>
      <c r="S175" s="59"/>
      <c r="T175" s="59"/>
      <c r="U175" s="59"/>
      <c r="V175" s="59"/>
      <c r="W175" s="59"/>
      <c r="X175" s="59"/>
      <c r="Y175" s="59"/>
      <c r="Z175" s="59"/>
      <c r="AA175" s="73"/>
      <c r="AB175" s="59"/>
      <c r="AC175" s="59"/>
      <c r="AD175" s="59"/>
      <c r="AE175" s="216"/>
      <c r="AF175" s="216"/>
      <c r="AG175" s="94"/>
      <c r="AH175" s="94"/>
      <c r="AI175" s="94"/>
      <c r="AJ175" s="94"/>
      <c r="AK175" s="94"/>
      <c r="AL175" s="62"/>
      <c r="AM175" s="59"/>
      <c r="AN175" s="59"/>
      <c r="AO175" s="62"/>
      <c r="AP175" s="62"/>
      <c r="AQ175" s="62"/>
      <c r="AR175" s="62"/>
      <c r="AS175" s="62"/>
      <c r="AT175" s="62"/>
      <c r="AU175" s="62"/>
      <c r="AV175" s="62"/>
      <c r="AW175" s="62"/>
      <c r="AX175" s="62"/>
    </row>
    <row r="176" spans="1:50" s="218" customFormat="1" ht="10" x14ac:dyDescent="0.25">
      <c r="A176" s="255"/>
      <c r="B176" s="59"/>
      <c r="C176" s="59"/>
      <c r="D176" s="62"/>
      <c r="E176" s="59"/>
      <c r="F176" s="62"/>
      <c r="G176" s="62"/>
      <c r="H176" s="62"/>
      <c r="I176" s="62"/>
      <c r="J176" s="62"/>
      <c r="K176" s="62"/>
      <c r="L176" s="62"/>
      <c r="M176" s="62"/>
      <c r="N176" s="62"/>
      <c r="O176" s="62"/>
      <c r="P176" s="62"/>
      <c r="Q176" s="59"/>
      <c r="R176" s="59"/>
      <c r="S176" s="59"/>
      <c r="T176" s="59"/>
      <c r="U176" s="59"/>
      <c r="V176" s="59"/>
      <c r="W176" s="59"/>
      <c r="X176" s="59"/>
      <c r="Y176" s="59"/>
      <c r="Z176" s="59"/>
      <c r="AA176" s="73"/>
      <c r="AB176" s="59"/>
      <c r="AC176" s="59"/>
      <c r="AD176" s="59"/>
      <c r="AE176" s="216"/>
      <c r="AF176" s="216"/>
      <c r="AG176" s="94"/>
      <c r="AH176" s="94"/>
      <c r="AI176" s="94"/>
      <c r="AJ176" s="94"/>
      <c r="AK176" s="94"/>
      <c r="AL176" s="62"/>
      <c r="AM176" s="59"/>
      <c r="AN176" s="59"/>
      <c r="AO176" s="62"/>
      <c r="AP176" s="62"/>
      <c r="AQ176" s="62"/>
      <c r="AR176" s="62"/>
      <c r="AS176" s="62"/>
      <c r="AT176" s="62"/>
      <c r="AU176" s="62"/>
      <c r="AV176" s="62"/>
      <c r="AW176" s="62"/>
      <c r="AX176" s="62"/>
    </row>
    <row r="177" spans="1:50" s="218" customFormat="1" ht="10" x14ac:dyDescent="0.25">
      <c r="A177" s="255"/>
      <c r="B177" s="59"/>
      <c r="C177" s="59"/>
      <c r="D177" s="62"/>
      <c r="E177" s="59"/>
      <c r="F177" s="62"/>
      <c r="G177" s="62"/>
      <c r="H177" s="62"/>
      <c r="I177" s="62"/>
      <c r="J177" s="62"/>
      <c r="K177" s="62"/>
      <c r="L177" s="62"/>
      <c r="M177" s="62"/>
      <c r="N177" s="62"/>
      <c r="O177" s="62"/>
      <c r="P177" s="62"/>
      <c r="Q177" s="59"/>
      <c r="R177" s="59"/>
      <c r="S177" s="59"/>
      <c r="T177" s="59"/>
      <c r="U177" s="59"/>
      <c r="V177" s="59"/>
      <c r="W177" s="59"/>
      <c r="X177" s="59"/>
      <c r="Y177" s="59"/>
      <c r="Z177" s="59"/>
      <c r="AA177" s="73"/>
      <c r="AB177" s="59"/>
      <c r="AC177" s="59"/>
      <c r="AD177" s="59"/>
      <c r="AE177" s="216"/>
      <c r="AF177" s="216"/>
      <c r="AG177" s="94"/>
      <c r="AH177" s="94"/>
      <c r="AI177" s="94"/>
      <c r="AJ177" s="94"/>
      <c r="AK177" s="94"/>
      <c r="AL177" s="62"/>
      <c r="AM177" s="59"/>
      <c r="AN177" s="59"/>
      <c r="AO177" s="62"/>
      <c r="AP177" s="62"/>
      <c r="AQ177" s="62"/>
      <c r="AR177" s="62"/>
      <c r="AS177" s="62"/>
      <c r="AT177" s="62"/>
      <c r="AU177" s="62"/>
      <c r="AV177" s="62"/>
      <c r="AW177" s="62"/>
      <c r="AX177" s="62"/>
    </row>
    <row r="178" spans="1:50" s="218" customFormat="1" ht="10" x14ac:dyDescent="0.25">
      <c r="A178" s="255"/>
      <c r="B178" s="59"/>
      <c r="C178" s="59"/>
      <c r="D178" s="62"/>
      <c r="E178" s="59"/>
      <c r="F178" s="62"/>
      <c r="G178" s="62"/>
      <c r="H178" s="62"/>
      <c r="I178" s="62"/>
      <c r="J178" s="62"/>
      <c r="K178" s="62"/>
      <c r="L178" s="62"/>
      <c r="M178" s="62"/>
      <c r="N178" s="62"/>
      <c r="O178" s="62"/>
      <c r="P178" s="62"/>
      <c r="Q178" s="59"/>
      <c r="R178" s="59"/>
      <c r="S178" s="59"/>
      <c r="T178" s="59"/>
      <c r="U178" s="59"/>
      <c r="V178" s="59"/>
      <c r="W178" s="59"/>
      <c r="X178" s="59"/>
      <c r="Y178" s="59"/>
      <c r="Z178" s="59"/>
      <c r="AA178" s="73"/>
      <c r="AB178" s="59"/>
      <c r="AC178" s="59"/>
      <c r="AD178" s="59"/>
      <c r="AE178" s="216"/>
      <c r="AF178" s="216"/>
      <c r="AG178" s="94"/>
      <c r="AH178" s="94"/>
      <c r="AI178" s="94"/>
      <c r="AJ178" s="94"/>
      <c r="AK178" s="94"/>
      <c r="AL178" s="62"/>
      <c r="AM178" s="59"/>
      <c r="AN178" s="59"/>
      <c r="AO178" s="62"/>
      <c r="AP178" s="62"/>
      <c r="AQ178" s="62"/>
      <c r="AR178" s="62"/>
      <c r="AS178" s="62"/>
      <c r="AT178" s="62"/>
      <c r="AU178" s="62"/>
      <c r="AV178" s="62"/>
      <c r="AW178" s="62"/>
      <c r="AX178" s="62"/>
    </row>
    <row r="179" spans="1:50" s="218" customFormat="1" ht="10" x14ac:dyDescent="0.25">
      <c r="A179" s="255"/>
      <c r="B179" s="59"/>
      <c r="C179" s="59"/>
      <c r="D179" s="62"/>
      <c r="E179" s="59"/>
      <c r="F179" s="62"/>
      <c r="G179" s="62"/>
      <c r="H179" s="62"/>
      <c r="I179" s="62"/>
      <c r="J179" s="62"/>
      <c r="K179" s="62"/>
      <c r="L179" s="62"/>
      <c r="M179" s="62"/>
      <c r="N179" s="62"/>
      <c r="O179" s="62"/>
      <c r="P179" s="62"/>
      <c r="Q179" s="59"/>
      <c r="R179" s="59"/>
      <c r="S179" s="59"/>
      <c r="T179" s="59"/>
      <c r="U179" s="59"/>
      <c r="V179" s="59"/>
      <c r="W179" s="59"/>
      <c r="X179" s="59"/>
      <c r="Y179" s="59"/>
      <c r="Z179" s="59"/>
      <c r="AA179" s="73"/>
      <c r="AB179" s="59"/>
      <c r="AC179" s="59"/>
      <c r="AD179" s="59"/>
      <c r="AE179" s="216"/>
      <c r="AF179" s="216"/>
      <c r="AG179" s="94"/>
      <c r="AH179" s="94"/>
      <c r="AI179" s="94"/>
      <c r="AJ179" s="94"/>
      <c r="AK179" s="94"/>
      <c r="AL179" s="62"/>
      <c r="AM179" s="59"/>
      <c r="AN179" s="59"/>
      <c r="AO179" s="62"/>
      <c r="AP179" s="62"/>
      <c r="AQ179" s="62"/>
      <c r="AR179" s="62"/>
      <c r="AS179" s="62"/>
      <c r="AT179" s="62"/>
      <c r="AU179" s="62"/>
      <c r="AV179" s="62"/>
      <c r="AW179" s="62"/>
      <c r="AX179" s="62"/>
    </row>
    <row r="180" spans="1:50" s="218" customFormat="1" ht="10" x14ac:dyDescent="0.25">
      <c r="A180" s="255"/>
      <c r="B180" s="59"/>
      <c r="C180" s="59"/>
      <c r="D180" s="62"/>
      <c r="E180" s="59"/>
      <c r="F180" s="62"/>
      <c r="G180" s="62"/>
      <c r="H180" s="62"/>
      <c r="I180" s="62"/>
      <c r="J180" s="62"/>
      <c r="K180" s="62"/>
      <c r="L180" s="62"/>
      <c r="M180" s="62"/>
      <c r="N180" s="62"/>
      <c r="O180" s="62"/>
      <c r="P180" s="62"/>
      <c r="Q180" s="59"/>
      <c r="R180" s="59"/>
      <c r="S180" s="59"/>
      <c r="T180" s="59"/>
      <c r="U180" s="59"/>
      <c r="V180" s="59"/>
      <c r="W180" s="59"/>
      <c r="X180" s="59"/>
      <c r="Y180" s="59"/>
      <c r="Z180" s="59"/>
      <c r="AA180" s="73"/>
      <c r="AB180" s="59"/>
      <c r="AC180" s="59"/>
      <c r="AD180" s="59"/>
      <c r="AE180" s="216"/>
      <c r="AF180" s="216"/>
      <c r="AG180" s="94"/>
      <c r="AH180" s="94"/>
      <c r="AI180" s="94"/>
      <c r="AJ180" s="94"/>
      <c r="AK180" s="94"/>
      <c r="AL180" s="62"/>
      <c r="AM180" s="59"/>
      <c r="AN180" s="59"/>
      <c r="AO180" s="62"/>
      <c r="AP180" s="62"/>
      <c r="AQ180" s="62"/>
      <c r="AR180" s="62"/>
      <c r="AS180" s="62"/>
      <c r="AT180" s="62"/>
      <c r="AU180" s="62"/>
      <c r="AV180" s="62"/>
      <c r="AW180" s="62"/>
      <c r="AX180" s="62"/>
    </row>
    <row r="181" spans="1:50" s="218" customFormat="1" ht="10" x14ac:dyDescent="0.25">
      <c r="A181" s="255"/>
      <c r="B181" s="59"/>
      <c r="C181" s="59"/>
      <c r="D181" s="62"/>
      <c r="E181" s="59"/>
      <c r="F181" s="62"/>
      <c r="G181" s="62"/>
      <c r="H181" s="62"/>
      <c r="I181" s="62"/>
      <c r="J181" s="62"/>
      <c r="K181" s="62"/>
      <c r="L181" s="62"/>
      <c r="M181" s="62"/>
      <c r="N181" s="62"/>
      <c r="O181" s="62"/>
      <c r="P181" s="62"/>
      <c r="Q181" s="59"/>
      <c r="R181" s="59"/>
      <c r="S181" s="59"/>
      <c r="T181" s="59"/>
      <c r="U181" s="59"/>
      <c r="V181" s="59"/>
      <c r="W181" s="59"/>
      <c r="X181" s="59"/>
      <c r="Y181" s="59"/>
      <c r="Z181" s="59"/>
      <c r="AA181" s="73"/>
      <c r="AB181" s="59"/>
      <c r="AC181" s="59"/>
      <c r="AD181" s="59"/>
      <c r="AE181" s="216"/>
      <c r="AF181" s="216"/>
      <c r="AG181" s="94"/>
      <c r="AH181" s="94"/>
      <c r="AI181" s="94"/>
      <c r="AJ181" s="94"/>
      <c r="AK181" s="94"/>
      <c r="AL181" s="62"/>
      <c r="AM181" s="59"/>
      <c r="AN181" s="59"/>
      <c r="AO181" s="62"/>
      <c r="AP181" s="62"/>
      <c r="AQ181" s="62"/>
      <c r="AR181" s="62"/>
      <c r="AS181" s="62"/>
      <c r="AT181" s="62"/>
      <c r="AU181" s="62"/>
      <c r="AV181" s="62"/>
      <c r="AW181" s="62"/>
      <c r="AX181" s="62"/>
    </row>
    <row r="182" spans="1:50" s="218" customFormat="1" ht="10" x14ac:dyDescent="0.25">
      <c r="A182" s="255"/>
      <c r="B182" s="59"/>
      <c r="C182" s="59"/>
      <c r="D182" s="62"/>
      <c r="E182" s="59"/>
      <c r="F182" s="62"/>
      <c r="G182" s="62"/>
      <c r="H182" s="62"/>
      <c r="I182" s="62"/>
      <c r="J182" s="62"/>
      <c r="K182" s="62"/>
      <c r="L182" s="62"/>
      <c r="M182" s="62"/>
      <c r="N182" s="62"/>
      <c r="O182" s="62"/>
      <c r="P182" s="62"/>
      <c r="Q182" s="59"/>
      <c r="R182" s="59"/>
      <c r="S182" s="59"/>
      <c r="T182" s="59"/>
      <c r="U182" s="59"/>
      <c r="V182" s="59"/>
      <c r="W182" s="59"/>
      <c r="X182" s="59"/>
      <c r="Y182" s="59"/>
      <c r="Z182" s="59"/>
      <c r="AA182" s="73"/>
      <c r="AB182" s="59"/>
      <c r="AC182" s="59"/>
      <c r="AD182" s="59"/>
      <c r="AE182" s="216"/>
      <c r="AF182" s="216"/>
      <c r="AG182" s="94"/>
      <c r="AH182" s="94"/>
      <c r="AI182" s="94"/>
      <c r="AJ182" s="94"/>
      <c r="AK182" s="94"/>
      <c r="AL182" s="62"/>
      <c r="AM182" s="59"/>
      <c r="AN182" s="59"/>
      <c r="AO182" s="62"/>
      <c r="AP182" s="62"/>
      <c r="AQ182" s="62"/>
      <c r="AR182" s="62"/>
      <c r="AS182" s="62"/>
      <c r="AT182" s="62"/>
      <c r="AU182" s="62"/>
      <c r="AV182" s="62"/>
      <c r="AW182" s="62"/>
      <c r="AX182" s="62"/>
    </row>
    <row r="183" spans="1:50" s="218" customFormat="1" ht="10" x14ac:dyDescent="0.25">
      <c r="A183" s="255"/>
      <c r="B183" s="59"/>
      <c r="C183" s="59"/>
      <c r="D183" s="62"/>
      <c r="E183" s="59"/>
      <c r="F183" s="62"/>
      <c r="G183" s="62"/>
      <c r="H183" s="62"/>
      <c r="I183" s="62"/>
      <c r="J183" s="62"/>
      <c r="K183" s="62"/>
      <c r="L183" s="62"/>
      <c r="M183" s="62"/>
      <c r="N183" s="62"/>
      <c r="O183" s="62"/>
      <c r="P183" s="62"/>
      <c r="Q183" s="59"/>
      <c r="R183" s="59"/>
      <c r="S183" s="59"/>
      <c r="T183" s="59"/>
      <c r="U183" s="59"/>
      <c r="V183" s="59"/>
      <c r="W183" s="59"/>
      <c r="X183" s="59"/>
      <c r="Y183" s="59"/>
      <c r="Z183" s="59"/>
      <c r="AA183" s="73"/>
      <c r="AB183" s="59"/>
      <c r="AC183" s="59"/>
      <c r="AD183" s="59"/>
      <c r="AE183" s="216"/>
      <c r="AF183" s="216"/>
      <c r="AG183" s="94"/>
      <c r="AH183" s="94"/>
      <c r="AI183" s="94"/>
      <c r="AJ183" s="94"/>
      <c r="AK183" s="94"/>
      <c r="AL183" s="62"/>
      <c r="AM183" s="59"/>
      <c r="AN183" s="59"/>
      <c r="AO183" s="62"/>
      <c r="AP183" s="62"/>
      <c r="AQ183" s="62"/>
      <c r="AR183" s="62"/>
      <c r="AS183" s="62"/>
      <c r="AT183" s="62"/>
      <c r="AU183" s="62"/>
      <c r="AV183" s="62"/>
      <c r="AW183" s="62"/>
      <c r="AX183" s="62"/>
    </row>
    <row r="184" spans="1:50" s="218" customFormat="1" ht="10" x14ac:dyDescent="0.25">
      <c r="A184" s="255"/>
      <c r="B184" s="59"/>
      <c r="C184" s="59"/>
      <c r="D184" s="62"/>
      <c r="E184" s="59"/>
      <c r="F184" s="62"/>
      <c r="G184" s="62"/>
      <c r="H184" s="62"/>
      <c r="I184" s="62"/>
      <c r="J184" s="62"/>
      <c r="K184" s="62"/>
      <c r="L184" s="62"/>
      <c r="M184" s="62"/>
      <c r="N184" s="62"/>
      <c r="O184" s="62"/>
      <c r="P184" s="62"/>
      <c r="Q184" s="59"/>
      <c r="R184" s="59"/>
      <c r="S184" s="59"/>
      <c r="T184" s="59"/>
      <c r="U184" s="59"/>
      <c r="V184" s="59"/>
      <c r="W184" s="59"/>
      <c r="X184" s="59"/>
      <c r="Y184" s="59"/>
      <c r="Z184" s="59"/>
      <c r="AA184" s="73"/>
      <c r="AB184" s="59"/>
      <c r="AC184" s="59"/>
      <c r="AD184" s="59"/>
      <c r="AE184" s="216"/>
      <c r="AF184" s="216"/>
      <c r="AG184" s="94"/>
      <c r="AH184" s="94"/>
      <c r="AI184" s="94"/>
      <c r="AJ184" s="94"/>
      <c r="AK184" s="94"/>
      <c r="AL184" s="62"/>
      <c r="AM184" s="59"/>
      <c r="AN184" s="59"/>
      <c r="AO184" s="62"/>
      <c r="AP184" s="62"/>
      <c r="AQ184" s="62"/>
      <c r="AR184" s="62"/>
      <c r="AS184" s="62"/>
      <c r="AT184" s="62"/>
      <c r="AU184" s="62"/>
      <c r="AV184" s="62"/>
      <c r="AW184" s="62"/>
      <c r="AX184" s="62"/>
    </row>
    <row r="185" spans="1:50" s="218" customFormat="1" ht="10" x14ac:dyDescent="0.25">
      <c r="A185" s="255"/>
      <c r="B185" s="59"/>
      <c r="C185" s="59"/>
      <c r="D185" s="62"/>
      <c r="E185" s="59"/>
      <c r="F185" s="62"/>
      <c r="G185" s="62"/>
      <c r="H185" s="62"/>
      <c r="I185" s="62"/>
      <c r="J185" s="62"/>
      <c r="K185" s="62"/>
      <c r="L185" s="62"/>
      <c r="M185" s="62"/>
      <c r="N185" s="62"/>
      <c r="O185" s="62"/>
      <c r="P185" s="62"/>
      <c r="Q185" s="59"/>
      <c r="R185" s="59"/>
      <c r="S185" s="59"/>
      <c r="T185" s="59"/>
      <c r="U185" s="59"/>
      <c r="V185" s="59"/>
      <c r="W185" s="59"/>
      <c r="X185" s="59"/>
      <c r="Y185" s="59"/>
      <c r="Z185" s="59"/>
      <c r="AA185" s="73"/>
      <c r="AB185" s="59"/>
      <c r="AC185" s="59"/>
      <c r="AD185" s="59"/>
      <c r="AE185" s="216"/>
      <c r="AF185" s="216"/>
      <c r="AG185" s="94"/>
      <c r="AH185" s="94"/>
      <c r="AI185" s="94"/>
      <c r="AJ185" s="94"/>
      <c r="AK185" s="94"/>
      <c r="AL185" s="62"/>
      <c r="AM185" s="59"/>
      <c r="AN185" s="59"/>
      <c r="AO185" s="62"/>
      <c r="AP185" s="62"/>
      <c r="AQ185" s="62"/>
      <c r="AR185" s="62"/>
      <c r="AS185" s="62"/>
      <c r="AT185" s="62"/>
      <c r="AU185" s="62"/>
      <c r="AV185" s="62"/>
      <c r="AW185" s="62"/>
      <c r="AX185" s="62"/>
    </row>
    <row r="186" spans="1:50" s="218" customFormat="1" ht="10" x14ac:dyDescent="0.25">
      <c r="A186" s="255"/>
      <c r="B186" s="59"/>
      <c r="C186" s="59"/>
      <c r="D186" s="62"/>
      <c r="E186" s="59"/>
      <c r="F186" s="62"/>
      <c r="G186" s="62"/>
      <c r="H186" s="62"/>
      <c r="I186" s="62"/>
      <c r="J186" s="62"/>
      <c r="K186" s="62"/>
      <c r="L186" s="62"/>
      <c r="M186" s="62"/>
      <c r="N186" s="62"/>
      <c r="O186" s="62"/>
      <c r="P186" s="62"/>
      <c r="Q186" s="59"/>
      <c r="R186" s="59"/>
      <c r="S186" s="59"/>
      <c r="T186" s="59"/>
      <c r="U186" s="59"/>
      <c r="V186" s="59"/>
      <c r="W186" s="59"/>
      <c r="X186" s="59"/>
      <c r="Y186" s="59"/>
      <c r="Z186" s="59"/>
      <c r="AA186" s="73"/>
      <c r="AB186" s="59"/>
      <c r="AC186" s="59"/>
      <c r="AD186" s="59"/>
      <c r="AE186" s="216"/>
      <c r="AF186" s="216"/>
      <c r="AG186" s="94"/>
      <c r="AH186" s="94"/>
      <c r="AI186" s="94"/>
      <c r="AJ186" s="94"/>
      <c r="AK186" s="94"/>
      <c r="AL186" s="62"/>
      <c r="AM186" s="59"/>
      <c r="AN186" s="59"/>
      <c r="AO186" s="62"/>
      <c r="AP186" s="62"/>
      <c r="AQ186" s="62"/>
      <c r="AR186" s="62"/>
      <c r="AS186" s="62"/>
      <c r="AT186" s="62"/>
      <c r="AU186" s="62"/>
      <c r="AV186" s="62"/>
      <c r="AW186" s="62"/>
      <c r="AX186" s="62"/>
    </row>
    <row r="187" spans="1:50" s="218" customFormat="1" ht="10" x14ac:dyDescent="0.25">
      <c r="A187" s="255"/>
      <c r="B187" s="59"/>
      <c r="C187" s="59"/>
      <c r="D187" s="62"/>
      <c r="E187" s="59"/>
      <c r="F187" s="62"/>
      <c r="G187" s="62"/>
      <c r="H187" s="62"/>
      <c r="I187" s="62"/>
      <c r="J187" s="62"/>
      <c r="K187" s="62"/>
      <c r="L187" s="62"/>
      <c r="M187" s="62"/>
      <c r="N187" s="62"/>
      <c r="O187" s="62"/>
      <c r="P187" s="62"/>
      <c r="Q187" s="59"/>
      <c r="R187" s="59"/>
      <c r="S187" s="59"/>
      <c r="T187" s="59"/>
      <c r="U187" s="59"/>
      <c r="V187" s="59"/>
      <c r="W187" s="59"/>
      <c r="X187" s="59"/>
      <c r="Y187" s="59"/>
      <c r="Z187" s="59"/>
      <c r="AA187" s="73"/>
      <c r="AB187" s="59"/>
      <c r="AC187" s="59"/>
      <c r="AD187" s="59"/>
      <c r="AE187" s="216"/>
      <c r="AF187" s="216"/>
      <c r="AG187" s="94"/>
      <c r="AH187" s="94"/>
      <c r="AI187" s="94"/>
      <c r="AJ187" s="94"/>
      <c r="AK187" s="94"/>
      <c r="AL187" s="62"/>
      <c r="AM187" s="59"/>
      <c r="AN187" s="59"/>
      <c r="AO187" s="62"/>
      <c r="AP187" s="62"/>
      <c r="AQ187" s="62"/>
      <c r="AR187" s="62"/>
      <c r="AS187" s="62"/>
      <c r="AT187" s="62"/>
      <c r="AU187" s="62"/>
      <c r="AV187" s="62"/>
      <c r="AW187" s="62"/>
      <c r="AX187" s="62"/>
    </row>
    <row r="188" spans="1:50" s="218" customFormat="1" ht="10" x14ac:dyDescent="0.25">
      <c r="A188" s="255"/>
      <c r="B188" s="59"/>
      <c r="C188" s="59"/>
      <c r="D188" s="62"/>
      <c r="E188" s="59"/>
      <c r="F188" s="62"/>
      <c r="G188" s="62"/>
      <c r="H188" s="62"/>
      <c r="I188" s="62"/>
      <c r="J188" s="62"/>
      <c r="K188" s="62"/>
      <c r="L188" s="62"/>
      <c r="M188" s="62"/>
      <c r="N188" s="62"/>
      <c r="O188" s="62"/>
      <c r="P188" s="62"/>
      <c r="Q188" s="59"/>
      <c r="R188" s="59"/>
      <c r="S188" s="59"/>
      <c r="T188" s="59"/>
      <c r="U188" s="59"/>
      <c r="V188" s="59"/>
      <c r="W188" s="59"/>
      <c r="X188" s="59"/>
      <c r="Y188" s="59"/>
      <c r="Z188" s="59"/>
      <c r="AA188" s="73"/>
      <c r="AB188" s="59"/>
      <c r="AC188" s="59"/>
      <c r="AD188" s="59"/>
      <c r="AE188" s="216"/>
      <c r="AF188" s="216"/>
      <c r="AG188" s="94"/>
      <c r="AH188" s="94"/>
      <c r="AI188" s="94"/>
      <c r="AJ188" s="94"/>
      <c r="AK188" s="94"/>
      <c r="AL188" s="62"/>
      <c r="AM188" s="59"/>
      <c r="AN188" s="59"/>
      <c r="AO188" s="62"/>
      <c r="AP188" s="62"/>
      <c r="AQ188" s="62"/>
      <c r="AR188" s="62"/>
      <c r="AS188" s="62"/>
      <c r="AT188" s="62"/>
      <c r="AU188" s="62"/>
      <c r="AV188" s="62"/>
      <c r="AW188" s="62"/>
      <c r="AX188" s="62"/>
    </row>
    <row r="189" spans="1:50" s="218" customFormat="1" ht="10" x14ac:dyDescent="0.25">
      <c r="A189" s="255"/>
      <c r="B189" s="59"/>
      <c r="C189" s="59"/>
      <c r="D189" s="62"/>
      <c r="E189" s="59"/>
      <c r="F189" s="62"/>
      <c r="G189" s="62"/>
      <c r="H189" s="62"/>
      <c r="I189" s="62"/>
      <c r="J189" s="62"/>
      <c r="K189" s="62"/>
      <c r="L189" s="62"/>
      <c r="M189" s="62"/>
      <c r="N189" s="62"/>
      <c r="O189" s="62"/>
      <c r="P189" s="62"/>
      <c r="Q189" s="59"/>
      <c r="R189" s="59"/>
      <c r="S189" s="59"/>
      <c r="T189" s="59"/>
      <c r="U189" s="59"/>
      <c r="V189" s="59"/>
      <c r="W189" s="59"/>
      <c r="X189" s="59"/>
      <c r="Y189" s="59"/>
      <c r="Z189" s="59"/>
      <c r="AA189" s="73"/>
      <c r="AB189" s="59"/>
      <c r="AC189" s="59"/>
      <c r="AD189" s="59"/>
      <c r="AE189" s="216"/>
      <c r="AF189" s="216"/>
      <c r="AG189" s="94"/>
      <c r="AH189" s="94"/>
      <c r="AI189" s="94"/>
      <c r="AJ189" s="94"/>
      <c r="AK189" s="94"/>
      <c r="AL189" s="62"/>
      <c r="AM189" s="59"/>
      <c r="AN189" s="59"/>
      <c r="AO189" s="62"/>
      <c r="AP189" s="62"/>
      <c r="AQ189" s="62"/>
      <c r="AR189" s="62"/>
      <c r="AS189" s="62"/>
      <c r="AT189" s="62"/>
      <c r="AU189" s="62"/>
      <c r="AV189" s="62"/>
      <c r="AW189" s="62"/>
      <c r="AX189" s="62"/>
    </row>
    <row r="190" spans="1:50" s="218" customFormat="1" ht="10" x14ac:dyDescent="0.25">
      <c r="A190" s="255"/>
      <c r="B190" s="59"/>
      <c r="C190" s="59"/>
      <c r="D190" s="62"/>
      <c r="E190" s="59"/>
      <c r="F190" s="62"/>
      <c r="G190" s="62"/>
      <c r="H190" s="62"/>
      <c r="I190" s="62"/>
      <c r="J190" s="62"/>
      <c r="K190" s="62"/>
      <c r="L190" s="62"/>
      <c r="M190" s="62"/>
      <c r="N190" s="62"/>
      <c r="O190" s="62"/>
      <c r="P190" s="62"/>
      <c r="Q190" s="59"/>
      <c r="R190" s="59"/>
      <c r="S190" s="59"/>
      <c r="T190" s="59"/>
      <c r="U190" s="59"/>
      <c r="V190" s="59"/>
      <c r="W190" s="59"/>
      <c r="X190" s="59"/>
      <c r="Y190" s="59"/>
      <c r="Z190" s="59"/>
      <c r="AA190" s="73"/>
      <c r="AB190" s="59"/>
      <c r="AC190" s="59"/>
      <c r="AD190" s="59"/>
      <c r="AE190" s="216"/>
      <c r="AF190" s="216"/>
      <c r="AG190" s="94"/>
      <c r="AH190" s="94"/>
      <c r="AI190" s="94"/>
      <c r="AJ190" s="94"/>
      <c r="AK190" s="94"/>
      <c r="AL190" s="62"/>
      <c r="AM190" s="59"/>
      <c r="AN190" s="59"/>
      <c r="AO190" s="62"/>
      <c r="AP190" s="62"/>
      <c r="AQ190" s="62"/>
      <c r="AR190" s="62"/>
      <c r="AS190" s="62"/>
      <c r="AT190" s="62"/>
      <c r="AU190" s="62"/>
      <c r="AV190" s="62"/>
      <c r="AW190" s="62"/>
      <c r="AX190" s="62"/>
    </row>
    <row r="191" spans="1:50" s="218" customFormat="1" ht="10" x14ac:dyDescent="0.25">
      <c r="A191" s="255"/>
      <c r="B191" s="59"/>
      <c r="C191" s="59"/>
      <c r="D191" s="62"/>
      <c r="E191" s="59"/>
      <c r="F191" s="62"/>
      <c r="G191" s="62"/>
      <c r="H191" s="62"/>
      <c r="I191" s="62"/>
      <c r="J191" s="62"/>
      <c r="K191" s="62"/>
      <c r="L191" s="62"/>
      <c r="M191" s="62"/>
      <c r="N191" s="62"/>
      <c r="O191" s="62"/>
      <c r="P191" s="62"/>
      <c r="Q191" s="59"/>
      <c r="R191" s="59"/>
      <c r="S191" s="59"/>
      <c r="T191" s="59"/>
      <c r="U191" s="59"/>
      <c r="V191" s="59"/>
      <c r="W191" s="59"/>
      <c r="X191" s="59"/>
      <c r="Y191" s="59"/>
      <c r="Z191" s="59"/>
      <c r="AA191" s="73"/>
      <c r="AB191" s="59"/>
      <c r="AC191" s="59"/>
      <c r="AD191" s="59"/>
      <c r="AE191" s="216"/>
      <c r="AF191" s="216"/>
      <c r="AG191" s="94"/>
      <c r="AH191" s="94"/>
      <c r="AI191" s="94"/>
      <c r="AJ191" s="94"/>
      <c r="AK191" s="94"/>
      <c r="AL191" s="62"/>
      <c r="AM191" s="59"/>
      <c r="AN191" s="59"/>
      <c r="AO191" s="62"/>
      <c r="AP191" s="62"/>
      <c r="AQ191" s="62"/>
      <c r="AR191" s="62"/>
      <c r="AS191" s="62"/>
      <c r="AT191" s="62"/>
      <c r="AU191" s="62"/>
      <c r="AV191" s="62"/>
      <c r="AW191" s="62"/>
      <c r="AX191" s="62"/>
    </row>
    <row r="192" spans="1:50" s="218" customFormat="1" ht="10" x14ac:dyDescent="0.25">
      <c r="A192" s="255"/>
      <c r="B192" s="59"/>
      <c r="C192" s="59"/>
      <c r="D192" s="62"/>
      <c r="E192" s="59"/>
      <c r="F192" s="62"/>
      <c r="G192" s="62"/>
      <c r="H192" s="62"/>
      <c r="I192" s="62"/>
      <c r="J192" s="62"/>
      <c r="K192" s="62"/>
      <c r="L192" s="62"/>
      <c r="M192" s="62"/>
      <c r="N192" s="62"/>
      <c r="O192" s="62"/>
      <c r="P192" s="62"/>
      <c r="Q192" s="59"/>
      <c r="R192" s="59"/>
      <c r="S192" s="59"/>
      <c r="T192" s="59"/>
      <c r="U192" s="59"/>
      <c r="V192" s="59"/>
      <c r="W192" s="59"/>
      <c r="X192" s="59"/>
      <c r="Y192" s="59"/>
      <c r="Z192" s="59"/>
      <c r="AA192" s="73"/>
      <c r="AB192" s="59"/>
      <c r="AC192" s="59"/>
      <c r="AD192" s="59"/>
      <c r="AE192" s="216"/>
      <c r="AF192" s="216"/>
      <c r="AG192" s="94"/>
      <c r="AH192" s="94"/>
      <c r="AI192" s="94"/>
      <c r="AJ192" s="94"/>
      <c r="AK192" s="94"/>
      <c r="AL192" s="62"/>
      <c r="AM192" s="59"/>
      <c r="AN192" s="59"/>
      <c r="AO192" s="62"/>
      <c r="AP192" s="62"/>
      <c r="AQ192" s="62"/>
      <c r="AR192" s="62"/>
      <c r="AS192" s="62"/>
      <c r="AT192" s="62"/>
      <c r="AU192" s="62"/>
      <c r="AV192" s="62"/>
      <c r="AW192" s="62"/>
      <c r="AX192" s="62"/>
    </row>
    <row r="193" spans="1:50" s="218" customFormat="1" ht="10" x14ac:dyDescent="0.25">
      <c r="A193" s="255"/>
      <c r="B193" s="59"/>
      <c r="C193" s="59"/>
      <c r="D193" s="62"/>
      <c r="E193" s="59"/>
      <c r="F193" s="62"/>
      <c r="G193" s="62"/>
      <c r="H193" s="62"/>
      <c r="I193" s="62"/>
      <c r="J193" s="62"/>
      <c r="K193" s="62"/>
      <c r="L193" s="62"/>
      <c r="M193" s="62"/>
      <c r="N193" s="62"/>
      <c r="O193" s="62"/>
      <c r="P193" s="62"/>
      <c r="Q193" s="59"/>
      <c r="R193" s="59"/>
      <c r="S193" s="59"/>
      <c r="T193" s="59"/>
      <c r="U193" s="59"/>
      <c r="V193" s="59"/>
      <c r="W193" s="59"/>
      <c r="X193" s="59"/>
      <c r="Y193" s="59"/>
      <c r="Z193" s="59"/>
      <c r="AA193" s="73"/>
      <c r="AB193" s="59"/>
      <c r="AC193" s="59"/>
      <c r="AD193" s="59"/>
      <c r="AE193" s="216"/>
      <c r="AF193" s="216"/>
      <c r="AG193" s="94"/>
      <c r="AH193" s="94"/>
      <c r="AI193" s="94"/>
      <c r="AJ193" s="94"/>
      <c r="AK193" s="94"/>
      <c r="AL193" s="62"/>
      <c r="AM193" s="59"/>
      <c r="AN193" s="59"/>
      <c r="AO193" s="62"/>
      <c r="AP193" s="62"/>
      <c r="AQ193" s="62"/>
      <c r="AR193" s="62"/>
      <c r="AS193" s="62"/>
      <c r="AT193" s="62"/>
      <c r="AU193" s="62"/>
      <c r="AV193" s="62"/>
      <c r="AW193" s="62"/>
      <c r="AX193" s="62"/>
    </row>
    <row r="194" spans="1:50" s="218" customFormat="1" ht="10" x14ac:dyDescent="0.25">
      <c r="A194" s="255"/>
      <c r="B194" s="59"/>
      <c r="C194" s="59"/>
      <c r="D194" s="62"/>
      <c r="E194" s="59"/>
      <c r="F194" s="62"/>
      <c r="G194" s="62"/>
      <c r="H194" s="62"/>
      <c r="I194" s="62"/>
      <c r="J194" s="62"/>
      <c r="K194" s="62"/>
      <c r="L194" s="62"/>
      <c r="M194" s="62"/>
      <c r="N194" s="62"/>
      <c r="O194" s="62"/>
      <c r="P194" s="62"/>
      <c r="Q194" s="59"/>
      <c r="R194" s="59"/>
      <c r="S194" s="59"/>
      <c r="T194" s="59"/>
      <c r="U194" s="59"/>
      <c r="V194" s="59"/>
      <c r="W194" s="59"/>
      <c r="X194" s="59"/>
      <c r="Y194" s="59"/>
      <c r="Z194" s="59"/>
      <c r="AA194" s="73"/>
      <c r="AB194" s="59"/>
      <c r="AC194" s="59"/>
      <c r="AD194" s="59"/>
      <c r="AE194" s="216"/>
      <c r="AF194" s="216"/>
      <c r="AG194" s="94"/>
      <c r="AH194" s="94"/>
      <c r="AI194" s="94"/>
      <c r="AJ194" s="94"/>
      <c r="AK194" s="94"/>
      <c r="AL194" s="62"/>
      <c r="AM194" s="59"/>
      <c r="AN194" s="59"/>
      <c r="AO194" s="62"/>
      <c r="AP194" s="62"/>
      <c r="AQ194" s="62"/>
      <c r="AR194" s="62"/>
      <c r="AS194" s="62"/>
      <c r="AT194" s="62"/>
      <c r="AU194" s="62"/>
      <c r="AV194" s="62"/>
      <c r="AW194" s="62"/>
      <c r="AX194" s="62"/>
    </row>
    <row r="195" spans="1:50" s="218" customFormat="1" ht="10" x14ac:dyDescent="0.25">
      <c r="A195" s="255"/>
      <c r="B195" s="59"/>
      <c r="C195" s="59"/>
      <c r="D195" s="62"/>
      <c r="E195" s="59"/>
      <c r="F195" s="62"/>
      <c r="G195" s="62"/>
      <c r="H195" s="62"/>
      <c r="I195" s="62"/>
      <c r="J195" s="62"/>
      <c r="K195" s="62"/>
      <c r="L195" s="62"/>
      <c r="M195" s="62"/>
      <c r="N195" s="62"/>
      <c r="O195" s="62"/>
      <c r="P195" s="62"/>
      <c r="Q195" s="59"/>
      <c r="R195" s="59"/>
      <c r="S195" s="59"/>
      <c r="T195" s="59"/>
      <c r="U195" s="59"/>
      <c r="V195" s="59"/>
      <c r="W195" s="59"/>
      <c r="X195" s="59"/>
      <c r="Y195" s="59"/>
      <c r="Z195" s="59"/>
      <c r="AA195" s="73"/>
      <c r="AB195" s="59"/>
      <c r="AC195" s="59"/>
      <c r="AD195" s="59"/>
      <c r="AE195" s="216"/>
      <c r="AF195" s="216"/>
      <c r="AG195" s="94"/>
      <c r="AH195" s="94"/>
      <c r="AI195" s="94"/>
      <c r="AJ195" s="94"/>
      <c r="AK195" s="94"/>
      <c r="AL195" s="62"/>
      <c r="AM195" s="59"/>
      <c r="AN195" s="59"/>
      <c r="AO195" s="62"/>
      <c r="AP195" s="62"/>
      <c r="AQ195" s="62"/>
      <c r="AR195" s="62"/>
      <c r="AS195" s="62"/>
      <c r="AT195" s="62"/>
      <c r="AU195" s="62"/>
      <c r="AV195" s="62"/>
      <c r="AW195" s="62"/>
      <c r="AX195" s="62"/>
    </row>
    <row r="196" spans="1:50" s="218" customFormat="1" ht="10" x14ac:dyDescent="0.25">
      <c r="A196" s="255"/>
      <c r="B196" s="59"/>
      <c r="C196" s="59"/>
      <c r="D196" s="62"/>
      <c r="E196" s="59"/>
      <c r="F196" s="62"/>
      <c r="G196" s="62"/>
      <c r="H196" s="62"/>
      <c r="I196" s="62"/>
      <c r="J196" s="62"/>
      <c r="K196" s="62"/>
      <c r="L196" s="62"/>
      <c r="M196" s="62"/>
      <c r="N196" s="62"/>
      <c r="O196" s="62"/>
      <c r="P196" s="62"/>
      <c r="Q196" s="59"/>
      <c r="R196" s="59"/>
      <c r="S196" s="59"/>
      <c r="T196" s="59"/>
      <c r="U196" s="59"/>
      <c r="V196" s="59"/>
      <c r="W196" s="59"/>
      <c r="X196" s="59"/>
      <c r="Y196" s="59"/>
      <c r="Z196" s="59"/>
      <c r="AA196" s="73"/>
      <c r="AB196" s="59"/>
      <c r="AC196" s="59"/>
      <c r="AD196" s="59"/>
      <c r="AE196" s="216"/>
      <c r="AF196" s="216"/>
      <c r="AG196" s="94"/>
      <c r="AH196" s="94"/>
      <c r="AI196" s="94"/>
      <c r="AJ196" s="94"/>
      <c r="AK196" s="94"/>
      <c r="AL196" s="62"/>
      <c r="AM196" s="59"/>
      <c r="AN196" s="59"/>
      <c r="AO196" s="62"/>
      <c r="AP196" s="62"/>
      <c r="AQ196" s="62"/>
      <c r="AR196" s="62"/>
      <c r="AS196" s="62"/>
      <c r="AT196" s="62"/>
      <c r="AU196" s="62"/>
      <c r="AV196" s="62"/>
      <c r="AW196" s="62"/>
      <c r="AX196" s="62"/>
    </row>
    <row r="197" spans="1:50" s="218" customFormat="1" ht="10" x14ac:dyDescent="0.25">
      <c r="A197" s="255"/>
      <c r="B197" s="59"/>
      <c r="C197" s="59"/>
      <c r="D197" s="62"/>
      <c r="E197" s="59"/>
      <c r="F197" s="62"/>
      <c r="G197" s="62"/>
      <c r="H197" s="62"/>
      <c r="I197" s="62"/>
      <c r="J197" s="62"/>
      <c r="K197" s="62"/>
      <c r="L197" s="62"/>
      <c r="M197" s="62"/>
      <c r="N197" s="62"/>
      <c r="O197" s="62"/>
      <c r="P197" s="62"/>
      <c r="Q197" s="59"/>
      <c r="R197" s="59"/>
      <c r="S197" s="59"/>
      <c r="T197" s="59"/>
      <c r="U197" s="59"/>
      <c r="V197" s="59"/>
      <c r="W197" s="59"/>
      <c r="X197" s="59"/>
      <c r="Y197" s="59"/>
      <c r="Z197" s="59"/>
      <c r="AA197" s="73"/>
      <c r="AB197" s="59"/>
      <c r="AC197" s="59"/>
      <c r="AD197" s="59"/>
      <c r="AE197" s="216"/>
      <c r="AF197" s="216"/>
      <c r="AG197" s="94"/>
      <c r="AH197" s="94"/>
      <c r="AI197" s="94"/>
      <c r="AJ197" s="94"/>
      <c r="AK197" s="94"/>
      <c r="AL197" s="62"/>
      <c r="AM197" s="59"/>
      <c r="AN197" s="59"/>
      <c r="AO197" s="62"/>
      <c r="AP197" s="62"/>
      <c r="AQ197" s="62"/>
      <c r="AR197" s="62"/>
      <c r="AS197" s="62"/>
      <c r="AT197" s="62"/>
      <c r="AU197" s="62"/>
      <c r="AV197" s="62"/>
      <c r="AW197" s="62"/>
      <c r="AX197" s="62"/>
    </row>
    <row r="198" spans="1:50" s="218" customFormat="1" ht="10" x14ac:dyDescent="0.25">
      <c r="A198" s="255"/>
      <c r="B198" s="59"/>
      <c r="C198" s="59"/>
      <c r="D198" s="62"/>
      <c r="E198" s="59"/>
      <c r="F198" s="62"/>
      <c r="G198" s="62"/>
      <c r="H198" s="62"/>
      <c r="I198" s="62"/>
      <c r="J198" s="62"/>
      <c r="K198" s="62"/>
      <c r="L198" s="62"/>
      <c r="M198" s="62"/>
      <c r="N198" s="62"/>
      <c r="O198" s="62"/>
      <c r="P198" s="62"/>
      <c r="Q198" s="59"/>
      <c r="R198" s="59"/>
      <c r="S198" s="59"/>
      <c r="T198" s="59"/>
      <c r="U198" s="59"/>
      <c r="V198" s="59"/>
      <c r="W198" s="59"/>
      <c r="X198" s="59"/>
      <c r="Y198" s="59"/>
      <c r="Z198" s="59"/>
      <c r="AA198" s="73"/>
      <c r="AB198" s="59"/>
      <c r="AC198" s="59"/>
      <c r="AD198" s="59"/>
      <c r="AE198" s="216"/>
      <c r="AF198" s="216"/>
      <c r="AG198" s="94"/>
      <c r="AH198" s="94"/>
      <c r="AI198" s="94"/>
      <c r="AJ198" s="94"/>
      <c r="AK198" s="94"/>
      <c r="AL198" s="62"/>
      <c r="AM198" s="59"/>
      <c r="AN198" s="59"/>
      <c r="AO198" s="62"/>
      <c r="AP198" s="62"/>
      <c r="AQ198" s="62"/>
      <c r="AR198" s="62"/>
      <c r="AS198" s="62"/>
      <c r="AT198" s="62"/>
      <c r="AU198" s="62"/>
      <c r="AV198" s="62"/>
      <c r="AW198" s="62"/>
      <c r="AX198" s="62"/>
    </row>
    <row r="199" spans="1:50" s="218" customFormat="1" ht="10" x14ac:dyDescent="0.25">
      <c r="A199" s="255"/>
      <c r="B199" s="59"/>
      <c r="C199" s="59"/>
      <c r="D199" s="62"/>
      <c r="E199" s="59"/>
      <c r="F199" s="62"/>
      <c r="G199" s="62"/>
      <c r="H199" s="62"/>
      <c r="I199" s="62"/>
      <c r="J199" s="62"/>
      <c r="K199" s="62"/>
      <c r="L199" s="62"/>
      <c r="M199" s="62"/>
      <c r="N199" s="62"/>
      <c r="O199" s="62"/>
      <c r="P199" s="62"/>
      <c r="Q199" s="59"/>
      <c r="R199" s="59"/>
      <c r="S199" s="59"/>
      <c r="T199" s="59"/>
      <c r="U199" s="59"/>
      <c r="V199" s="59"/>
      <c r="W199" s="59"/>
      <c r="X199" s="59"/>
      <c r="Y199" s="59"/>
      <c r="Z199" s="59"/>
      <c r="AA199" s="73"/>
      <c r="AB199" s="59"/>
      <c r="AC199" s="59"/>
      <c r="AD199" s="59"/>
      <c r="AE199" s="216"/>
      <c r="AF199" s="216"/>
      <c r="AG199" s="94"/>
      <c r="AH199" s="94"/>
      <c r="AI199" s="94"/>
      <c r="AJ199" s="94"/>
      <c r="AK199" s="94"/>
      <c r="AL199" s="62"/>
      <c r="AM199" s="59"/>
      <c r="AN199" s="59"/>
      <c r="AO199" s="62"/>
      <c r="AP199" s="62"/>
      <c r="AQ199" s="62"/>
      <c r="AR199" s="62"/>
      <c r="AS199" s="62"/>
      <c r="AT199" s="62"/>
      <c r="AU199" s="62"/>
      <c r="AV199" s="62"/>
      <c r="AW199" s="62"/>
      <c r="AX199" s="62"/>
    </row>
    <row r="200" spans="1:50" s="218" customFormat="1" ht="10" x14ac:dyDescent="0.25">
      <c r="A200" s="255"/>
      <c r="B200" s="59"/>
      <c r="C200" s="59"/>
      <c r="D200" s="62"/>
      <c r="E200" s="59"/>
      <c r="F200" s="62"/>
      <c r="G200" s="62"/>
      <c r="H200" s="62"/>
      <c r="I200" s="62"/>
      <c r="J200" s="62"/>
      <c r="K200" s="62"/>
      <c r="L200" s="62"/>
      <c r="M200" s="62"/>
      <c r="N200" s="62"/>
      <c r="O200" s="62"/>
      <c r="P200" s="62"/>
      <c r="Q200" s="59"/>
      <c r="R200" s="59"/>
      <c r="S200" s="59"/>
      <c r="T200" s="59"/>
      <c r="U200" s="59"/>
      <c r="V200" s="59"/>
      <c r="W200" s="59"/>
      <c r="X200" s="59"/>
      <c r="Y200" s="59"/>
      <c r="Z200" s="59"/>
      <c r="AA200" s="73"/>
      <c r="AB200" s="59"/>
      <c r="AC200" s="59"/>
      <c r="AD200" s="59"/>
      <c r="AE200" s="216"/>
      <c r="AF200" s="216"/>
      <c r="AG200" s="94"/>
      <c r="AH200" s="94"/>
      <c r="AI200" s="94"/>
      <c r="AJ200" s="94"/>
      <c r="AK200" s="94"/>
      <c r="AL200" s="62"/>
      <c r="AM200" s="59"/>
      <c r="AN200" s="59"/>
      <c r="AO200" s="62"/>
      <c r="AP200" s="62"/>
      <c r="AQ200" s="62"/>
      <c r="AR200" s="62"/>
      <c r="AS200" s="62"/>
      <c r="AT200" s="62"/>
      <c r="AU200" s="62"/>
      <c r="AV200" s="62"/>
      <c r="AW200" s="62"/>
      <c r="AX200" s="62"/>
    </row>
    <row r="201" spans="1:50" s="218" customFormat="1" ht="10" x14ac:dyDescent="0.25">
      <c r="A201" s="255"/>
      <c r="B201" s="59"/>
      <c r="C201" s="59"/>
      <c r="D201" s="62"/>
      <c r="E201" s="59"/>
      <c r="F201" s="62"/>
      <c r="G201" s="62"/>
      <c r="H201" s="62"/>
      <c r="I201" s="62"/>
      <c r="J201" s="62"/>
      <c r="K201" s="62"/>
      <c r="L201" s="62"/>
      <c r="M201" s="62"/>
      <c r="N201" s="62"/>
      <c r="O201" s="62"/>
      <c r="P201" s="62"/>
      <c r="Q201" s="59"/>
      <c r="R201" s="59"/>
      <c r="S201" s="59"/>
      <c r="T201" s="59"/>
      <c r="U201" s="59"/>
      <c r="V201" s="59"/>
      <c r="W201" s="59"/>
      <c r="X201" s="59"/>
      <c r="Y201" s="59"/>
      <c r="Z201" s="59"/>
      <c r="AA201" s="73"/>
      <c r="AB201" s="59"/>
      <c r="AC201" s="59"/>
      <c r="AD201" s="59"/>
      <c r="AE201" s="216"/>
      <c r="AF201" s="216"/>
      <c r="AG201" s="94"/>
      <c r="AH201" s="94"/>
      <c r="AI201" s="94"/>
      <c r="AJ201" s="94"/>
      <c r="AK201" s="94"/>
      <c r="AL201" s="62"/>
      <c r="AM201" s="59"/>
      <c r="AN201" s="59"/>
      <c r="AO201" s="62"/>
      <c r="AP201" s="62"/>
      <c r="AQ201" s="62"/>
      <c r="AR201" s="62"/>
      <c r="AS201" s="62"/>
      <c r="AT201" s="62"/>
      <c r="AU201" s="62"/>
      <c r="AV201" s="62"/>
      <c r="AW201" s="62"/>
      <c r="AX201" s="62"/>
    </row>
    <row r="202" spans="1:50" s="218" customFormat="1" ht="10" x14ac:dyDescent="0.25">
      <c r="A202" s="255"/>
      <c r="B202" s="59"/>
      <c r="C202" s="59"/>
      <c r="D202" s="62"/>
      <c r="E202" s="59"/>
      <c r="F202" s="62"/>
      <c r="G202" s="62"/>
      <c r="H202" s="62"/>
      <c r="I202" s="62"/>
      <c r="J202" s="62"/>
      <c r="K202" s="62"/>
      <c r="L202" s="62"/>
      <c r="M202" s="62"/>
      <c r="N202" s="62"/>
      <c r="O202" s="62"/>
      <c r="P202" s="62"/>
      <c r="Q202" s="59"/>
      <c r="R202" s="59"/>
      <c r="S202" s="59"/>
      <c r="T202" s="59"/>
      <c r="U202" s="59"/>
      <c r="V202" s="59"/>
      <c r="W202" s="59"/>
      <c r="X202" s="59"/>
      <c r="Y202" s="59"/>
      <c r="Z202" s="59"/>
      <c r="AA202" s="73"/>
      <c r="AB202" s="59"/>
      <c r="AC202" s="59"/>
      <c r="AD202" s="59"/>
      <c r="AE202" s="216"/>
      <c r="AF202" s="216"/>
      <c r="AG202" s="94"/>
      <c r="AH202" s="94"/>
      <c r="AI202" s="94"/>
      <c r="AJ202" s="94"/>
      <c r="AK202" s="94"/>
      <c r="AL202" s="62"/>
      <c r="AM202" s="59"/>
      <c r="AN202" s="59"/>
      <c r="AO202" s="62"/>
      <c r="AP202" s="62"/>
      <c r="AQ202" s="62"/>
      <c r="AR202" s="62"/>
      <c r="AS202" s="62"/>
      <c r="AT202" s="62"/>
      <c r="AU202" s="62"/>
      <c r="AV202" s="62"/>
      <c r="AW202" s="62"/>
      <c r="AX202" s="62"/>
    </row>
    <row r="203" spans="1:50" s="218" customFormat="1" ht="10" x14ac:dyDescent="0.25">
      <c r="A203" s="255"/>
      <c r="B203" s="59"/>
      <c r="C203" s="59"/>
      <c r="D203" s="62"/>
      <c r="E203" s="59"/>
      <c r="F203" s="62"/>
      <c r="G203" s="62"/>
      <c r="H203" s="62"/>
      <c r="I203" s="62"/>
      <c r="J203" s="62"/>
      <c r="K203" s="62"/>
      <c r="L203" s="62"/>
      <c r="M203" s="62"/>
      <c r="N203" s="62"/>
      <c r="O203" s="62"/>
      <c r="P203" s="62"/>
      <c r="Q203" s="59"/>
      <c r="R203" s="59"/>
      <c r="S203" s="59"/>
      <c r="T203" s="59"/>
      <c r="U203" s="59"/>
      <c r="V203" s="59"/>
      <c r="W203" s="59"/>
      <c r="X203" s="59"/>
      <c r="Y203" s="59"/>
      <c r="Z203" s="59"/>
      <c r="AA203" s="73"/>
      <c r="AB203" s="59"/>
      <c r="AC203" s="59"/>
      <c r="AD203" s="59"/>
      <c r="AE203" s="216"/>
      <c r="AF203" s="216"/>
      <c r="AG203" s="94"/>
      <c r="AH203" s="94"/>
      <c r="AI203" s="94"/>
      <c r="AJ203" s="94"/>
      <c r="AK203" s="94"/>
      <c r="AL203" s="62"/>
      <c r="AM203" s="59"/>
      <c r="AN203" s="59"/>
      <c r="AO203" s="62"/>
      <c r="AP203" s="62"/>
      <c r="AQ203" s="62"/>
      <c r="AR203" s="62"/>
      <c r="AS203" s="62"/>
      <c r="AT203" s="62"/>
      <c r="AU203" s="62"/>
      <c r="AV203" s="62"/>
      <c r="AW203" s="62"/>
      <c r="AX203" s="62"/>
    </row>
    <row r="204" spans="1:50" s="218" customFormat="1" ht="10" x14ac:dyDescent="0.25">
      <c r="A204" s="255"/>
      <c r="B204" s="59"/>
      <c r="C204" s="59"/>
      <c r="D204" s="62"/>
      <c r="E204" s="59"/>
      <c r="F204" s="62"/>
      <c r="G204" s="62"/>
      <c r="H204" s="62"/>
      <c r="I204" s="62"/>
      <c r="J204" s="62"/>
      <c r="K204" s="62"/>
      <c r="L204" s="62"/>
      <c r="M204" s="62"/>
      <c r="N204" s="62"/>
      <c r="O204" s="62"/>
      <c r="P204" s="62"/>
      <c r="Q204" s="59"/>
      <c r="R204" s="59"/>
      <c r="S204" s="59"/>
      <c r="T204" s="59"/>
      <c r="U204" s="59"/>
      <c r="V204" s="59"/>
      <c r="W204" s="59"/>
      <c r="X204" s="59"/>
      <c r="Y204" s="59"/>
      <c r="Z204" s="59"/>
      <c r="AA204" s="73"/>
      <c r="AB204" s="59"/>
      <c r="AC204" s="59"/>
      <c r="AD204" s="59"/>
      <c r="AE204" s="216"/>
      <c r="AF204" s="216"/>
      <c r="AG204" s="94"/>
      <c r="AH204" s="94"/>
      <c r="AI204" s="94"/>
      <c r="AJ204" s="94"/>
      <c r="AK204" s="94"/>
      <c r="AL204" s="62"/>
      <c r="AM204" s="59"/>
      <c r="AN204" s="59"/>
      <c r="AO204" s="62"/>
      <c r="AP204" s="62"/>
      <c r="AQ204" s="62"/>
      <c r="AR204" s="62"/>
      <c r="AS204" s="62"/>
      <c r="AT204" s="62"/>
      <c r="AU204" s="62"/>
      <c r="AV204" s="62"/>
      <c r="AW204" s="62"/>
      <c r="AX204" s="62"/>
    </row>
    <row r="205" spans="1:50" s="218" customFormat="1" ht="10" x14ac:dyDescent="0.25">
      <c r="A205" s="255"/>
      <c r="B205" s="59"/>
      <c r="C205" s="59"/>
      <c r="D205" s="62"/>
      <c r="E205" s="59"/>
      <c r="F205" s="62"/>
      <c r="G205" s="62"/>
      <c r="H205" s="62"/>
      <c r="I205" s="62"/>
      <c r="J205" s="62"/>
      <c r="K205" s="62"/>
      <c r="L205" s="62"/>
      <c r="M205" s="62"/>
      <c r="N205" s="62"/>
      <c r="O205" s="62"/>
      <c r="P205" s="62"/>
      <c r="Q205" s="59"/>
      <c r="R205" s="59"/>
      <c r="S205" s="59"/>
      <c r="T205" s="59"/>
      <c r="U205" s="59"/>
      <c r="V205" s="59"/>
      <c r="W205" s="59"/>
      <c r="X205" s="59"/>
      <c r="Y205" s="59"/>
      <c r="Z205" s="59"/>
      <c r="AA205" s="73"/>
      <c r="AB205" s="59"/>
      <c r="AC205" s="59"/>
      <c r="AD205" s="59"/>
      <c r="AE205" s="216"/>
      <c r="AF205" s="216"/>
      <c r="AG205" s="94"/>
      <c r="AH205" s="94"/>
      <c r="AI205" s="94"/>
      <c r="AJ205" s="94"/>
      <c r="AK205" s="94"/>
      <c r="AL205" s="62"/>
      <c r="AM205" s="59"/>
      <c r="AN205" s="59"/>
      <c r="AO205" s="62"/>
      <c r="AP205" s="62"/>
      <c r="AQ205" s="62"/>
      <c r="AR205" s="62"/>
      <c r="AS205" s="62"/>
      <c r="AT205" s="62"/>
      <c r="AU205" s="62"/>
      <c r="AV205" s="62"/>
      <c r="AW205" s="62"/>
      <c r="AX205" s="62"/>
    </row>
    <row r="206" spans="1:50" s="218" customFormat="1" ht="10" x14ac:dyDescent="0.25">
      <c r="A206" s="255"/>
      <c r="B206" s="59"/>
      <c r="C206" s="59"/>
      <c r="D206" s="62"/>
      <c r="E206" s="59"/>
      <c r="F206" s="62"/>
      <c r="G206" s="62"/>
      <c r="H206" s="62"/>
      <c r="I206" s="62"/>
      <c r="J206" s="62"/>
      <c r="K206" s="62"/>
      <c r="L206" s="62"/>
      <c r="M206" s="62"/>
      <c r="N206" s="62"/>
      <c r="O206" s="62"/>
      <c r="P206" s="62"/>
      <c r="Q206" s="59"/>
      <c r="R206" s="59"/>
      <c r="S206" s="59"/>
      <c r="T206" s="59"/>
      <c r="U206" s="59"/>
      <c r="V206" s="59"/>
      <c r="W206" s="59"/>
      <c r="X206" s="59"/>
      <c r="Y206" s="59"/>
      <c r="Z206" s="59"/>
      <c r="AA206" s="73"/>
      <c r="AB206" s="59"/>
      <c r="AC206" s="59"/>
      <c r="AD206" s="59"/>
      <c r="AE206" s="216"/>
      <c r="AF206" s="216"/>
      <c r="AG206" s="94"/>
      <c r="AH206" s="94"/>
      <c r="AI206" s="94"/>
      <c r="AJ206" s="94"/>
      <c r="AK206" s="94"/>
      <c r="AL206" s="62"/>
      <c r="AM206" s="59"/>
      <c r="AN206" s="59"/>
      <c r="AO206" s="62"/>
      <c r="AP206" s="62"/>
      <c r="AQ206" s="62"/>
      <c r="AR206" s="62"/>
      <c r="AS206" s="62"/>
      <c r="AT206" s="62"/>
      <c r="AU206" s="62"/>
      <c r="AV206" s="62"/>
      <c r="AW206" s="62"/>
      <c r="AX206" s="62"/>
    </row>
    <row r="207" spans="1:50" s="218" customFormat="1" ht="10" x14ac:dyDescent="0.25">
      <c r="A207" s="255"/>
      <c r="B207" s="59"/>
      <c r="C207" s="59"/>
      <c r="D207" s="62"/>
      <c r="E207" s="59"/>
      <c r="F207" s="62"/>
      <c r="G207" s="62"/>
      <c r="H207" s="62"/>
      <c r="I207" s="62"/>
      <c r="J207" s="62"/>
      <c r="K207" s="62"/>
      <c r="L207" s="62"/>
      <c r="M207" s="62"/>
      <c r="N207" s="62"/>
      <c r="O207" s="62"/>
      <c r="P207" s="62"/>
      <c r="Q207" s="59"/>
      <c r="R207" s="59"/>
      <c r="S207" s="59"/>
      <c r="T207" s="59"/>
      <c r="U207" s="59"/>
      <c r="V207" s="59"/>
      <c r="W207" s="59"/>
      <c r="X207" s="59"/>
      <c r="Y207" s="59"/>
      <c r="Z207" s="59"/>
      <c r="AA207" s="73"/>
      <c r="AB207" s="59"/>
      <c r="AC207" s="59"/>
      <c r="AD207" s="59"/>
      <c r="AE207" s="216"/>
      <c r="AF207" s="216"/>
      <c r="AG207" s="94"/>
      <c r="AH207" s="94"/>
      <c r="AI207" s="94"/>
      <c r="AJ207" s="94"/>
      <c r="AK207" s="94"/>
      <c r="AL207" s="62"/>
      <c r="AM207" s="59"/>
      <c r="AN207" s="59"/>
      <c r="AO207" s="62"/>
      <c r="AP207" s="62"/>
      <c r="AQ207" s="62"/>
      <c r="AR207" s="62"/>
      <c r="AS207" s="62"/>
      <c r="AT207" s="62"/>
      <c r="AU207" s="62"/>
      <c r="AV207" s="62"/>
      <c r="AW207" s="62"/>
      <c r="AX207" s="62"/>
    </row>
    <row r="208" spans="1:50" s="218" customFormat="1" ht="10" x14ac:dyDescent="0.25">
      <c r="A208" s="255"/>
      <c r="B208" s="59"/>
      <c r="C208" s="59"/>
      <c r="D208" s="62"/>
      <c r="E208" s="59"/>
      <c r="F208" s="62"/>
      <c r="G208" s="62"/>
      <c r="H208" s="62"/>
      <c r="I208" s="62"/>
      <c r="J208" s="62"/>
      <c r="K208" s="62"/>
      <c r="L208" s="62"/>
      <c r="M208" s="62"/>
      <c r="N208" s="62"/>
      <c r="O208" s="62"/>
      <c r="P208" s="62"/>
      <c r="Q208" s="59"/>
      <c r="R208" s="59"/>
      <c r="S208" s="59"/>
      <c r="T208" s="59"/>
      <c r="U208" s="59"/>
      <c r="V208" s="59"/>
      <c r="W208" s="59"/>
      <c r="X208" s="59"/>
      <c r="Y208" s="59"/>
      <c r="Z208" s="59"/>
      <c r="AA208" s="73"/>
      <c r="AB208" s="59"/>
      <c r="AC208" s="59"/>
      <c r="AD208" s="59"/>
      <c r="AE208" s="216"/>
      <c r="AF208" s="216"/>
      <c r="AG208" s="94"/>
      <c r="AH208" s="94"/>
      <c r="AI208" s="94"/>
      <c r="AJ208" s="94"/>
      <c r="AK208" s="94"/>
      <c r="AL208" s="62"/>
      <c r="AM208" s="59"/>
      <c r="AN208" s="59"/>
      <c r="AO208" s="62"/>
      <c r="AP208" s="62"/>
      <c r="AQ208" s="62"/>
      <c r="AR208" s="62"/>
      <c r="AS208" s="62"/>
      <c r="AT208" s="62"/>
      <c r="AU208" s="62"/>
      <c r="AV208" s="62"/>
      <c r="AW208" s="62"/>
      <c r="AX208" s="62"/>
    </row>
    <row r="209" spans="1:50" s="218" customFormat="1" ht="10" x14ac:dyDescent="0.25">
      <c r="A209" s="255"/>
      <c r="B209" s="59"/>
      <c r="C209" s="59"/>
      <c r="D209" s="62"/>
      <c r="E209" s="59"/>
      <c r="F209" s="62"/>
      <c r="G209" s="62"/>
      <c r="H209" s="62"/>
      <c r="I209" s="62"/>
      <c r="J209" s="62"/>
      <c r="K209" s="62"/>
      <c r="L209" s="62"/>
      <c r="M209" s="62"/>
      <c r="N209" s="62"/>
      <c r="O209" s="62"/>
      <c r="P209" s="62"/>
      <c r="Q209" s="59"/>
      <c r="R209" s="59"/>
      <c r="S209" s="59"/>
      <c r="T209" s="59"/>
      <c r="U209" s="59"/>
      <c r="V209" s="59"/>
      <c r="W209" s="59"/>
      <c r="X209" s="59"/>
      <c r="Y209" s="59"/>
      <c r="Z209" s="59"/>
      <c r="AA209" s="73"/>
      <c r="AB209" s="59"/>
      <c r="AC209" s="59"/>
      <c r="AD209" s="59"/>
      <c r="AE209" s="216"/>
      <c r="AF209" s="216"/>
      <c r="AG209" s="94"/>
      <c r="AH209" s="94"/>
      <c r="AI209" s="94"/>
      <c r="AJ209" s="94"/>
      <c r="AK209" s="94"/>
      <c r="AL209" s="62"/>
      <c r="AM209" s="59"/>
      <c r="AN209" s="59"/>
      <c r="AO209" s="62"/>
      <c r="AP209" s="62"/>
      <c r="AQ209" s="62"/>
      <c r="AR209" s="62"/>
      <c r="AS209" s="62"/>
      <c r="AT209" s="62"/>
      <c r="AU209" s="62"/>
      <c r="AV209" s="62"/>
      <c r="AW209" s="62"/>
      <c r="AX209" s="62"/>
    </row>
    <row r="210" spans="1:50" s="218" customFormat="1" ht="10" x14ac:dyDescent="0.25">
      <c r="A210" s="255"/>
      <c r="B210" s="59"/>
      <c r="C210" s="59"/>
      <c r="D210" s="62"/>
      <c r="E210" s="59"/>
      <c r="F210" s="62"/>
      <c r="G210" s="62"/>
      <c r="H210" s="62"/>
      <c r="I210" s="62"/>
      <c r="J210" s="62"/>
      <c r="K210" s="62"/>
      <c r="L210" s="62"/>
      <c r="M210" s="62"/>
      <c r="N210" s="62"/>
      <c r="O210" s="62"/>
      <c r="P210" s="62"/>
      <c r="Q210" s="59"/>
      <c r="R210" s="59"/>
      <c r="S210" s="59"/>
      <c r="T210" s="59"/>
      <c r="U210" s="59"/>
      <c r="V210" s="59"/>
      <c r="W210" s="59"/>
      <c r="X210" s="59"/>
      <c r="Y210" s="59"/>
      <c r="Z210" s="59"/>
      <c r="AA210" s="73"/>
      <c r="AB210" s="59"/>
      <c r="AC210" s="59"/>
      <c r="AD210" s="59"/>
      <c r="AE210" s="216"/>
      <c r="AF210" s="216"/>
      <c r="AG210" s="94"/>
      <c r="AH210" s="94"/>
      <c r="AI210" s="94"/>
      <c r="AJ210" s="94"/>
      <c r="AK210" s="94"/>
      <c r="AL210" s="62"/>
      <c r="AM210" s="59"/>
      <c r="AN210" s="59"/>
      <c r="AO210" s="62"/>
      <c r="AP210" s="62"/>
      <c r="AQ210" s="62"/>
      <c r="AR210" s="62"/>
      <c r="AS210" s="62"/>
      <c r="AT210" s="62"/>
      <c r="AU210" s="62"/>
      <c r="AV210" s="62"/>
      <c r="AW210" s="62"/>
      <c r="AX210" s="62"/>
    </row>
    <row r="211" spans="1:50" s="218" customFormat="1" ht="10" x14ac:dyDescent="0.25">
      <c r="A211" s="255"/>
      <c r="B211" s="59"/>
      <c r="C211" s="59"/>
      <c r="D211" s="62"/>
      <c r="E211" s="59"/>
      <c r="F211" s="62"/>
      <c r="G211" s="62"/>
      <c r="H211" s="62"/>
      <c r="I211" s="62"/>
      <c r="J211" s="62"/>
      <c r="K211" s="62"/>
      <c r="L211" s="62"/>
      <c r="M211" s="62"/>
      <c r="N211" s="62"/>
      <c r="O211" s="62"/>
      <c r="P211" s="62"/>
      <c r="Q211" s="59"/>
      <c r="R211" s="59"/>
      <c r="S211" s="59"/>
      <c r="T211" s="59"/>
      <c r="U211" s="59"/>
      <c r="V211" s="59"/>
      <c r="W211" s="59"/>
      <c r="X211" s="59"/>
      <c r="Y211" s="59"/>
      <c r="Z211" s="59"/>
      <c r="AA211" s="73"/>
      <c r="AB211" s="59"/>
      <c r="AC211" s="59"/>
      <c r="AD211" s="59"/>
      <c r="AE211" s="216"/>
      <c r="AF211" s="216"/>
      <c r="AG211" s="94"/>
      <c r="AH211" s="94"/>
      <c r="AI211" s="94"/>
      <c r="AJ211" s="94"/>
      <c r="AK211" s="94"/>
      <c r="AL211" s="62"/>
      <c r="AM211" s="59"/>
      <c r="AN211" s="59"/>
      <c r="AO211" s="62"/>
      <c r="AP211" s="62"/>
      <c r="AQ211" s="62"/>
      <c r="AR211" s="62"/>
      <c r="AS211" s="62"/>
      <c r="AT211" s="62"/>
      <c r="AU211" s="62"/>
      <c r="AV211" s="62"/>
      <c r="AW211" s="62"/>
      <c r="AX211" s="62"/>
    </row>
    <row r="212" spans="1:50" s="218" customFormat="1" ht="10" x14ac:dyDescent="0.25">
      <c r="A212" s="255"/>
      <c r="B212" s="59"/>
      <c r="C212" s="59"/>
      <c r="D212" s="62"/>
      <c r="E212" s="59"/>
      <c r="F212" s="62"/>
      <c r="G212" s="62"/>
      <c r="H212" s="62"/>
      <c r="I212" s="62"/>
      <c r="J212" s="62"/>
      <c r="K212" s="62"/>
      <c r="L212" s="62"/>
      <c r="M212" s="62"/>
      <c r="N212" s="62"/>
      <c r="O212" s="62"/>
      <c r="P212" s="62"/>
      <c r="Q212" s="59"/>
      <c r="R212" s="59"/>
      <c r="S212" s="59"/>
      <c r="T212" s="59"/>
      <c r="U212" s="59"/>
      <c r="V212" s="59"/>
      <c r="W212" s="59"/>
      <c r="X212" s="59"/>
      <c r="Y212" s="59"/>
      <c r="Z212" s="59"/>
      <c r="AA212" s="73"/>
      <c r="AB212" s="59"/>
      <c r="AC212" s="59"/>
      <c r="AD212" s="59"/>
      <c r="AE212" s="216"/>
      <c r="AF212" s="216"/>
      <c r="AG212" s="94"/>
      <c r="AH212" s="94"/>
      <c r="AI212" s="94"/>
      <c r="AJ212" s="94"/>
      <c r="AK212" s="94"/>
      <c r="AL212" s="62"/>
      <c r="AM212" s="59"/>
      <c r="AN212" s="59"/>
      <c r="AO212" s="62"/>
      <c r="AP212" s="62"/>
      <c r="AQ212" s="62"/>
      <c r="AR212" s="62"/>
      <c r="AS212" s="62"/>
      <c r="AT212" s="62"/>
      <c r="AU212" s="62"/>
      <c r="AV212" s="62"/>
      <c r="AW212" s="62"/>
      <c r="AX212" s="62"/>
    </row>
    <row r="213" spans="1:50" s="218" customFormat="1" ht="10" x14ac:dyDescent="0.25">
      <c r="A213" s="255"/>
      <c r="B213" s="59"/>
      <c r="C213" s="59"/>
      <c r="D213" s="62"/>
      <c r="E213" s="59"/>
      <c r="F213" s="62"/>
      <c r="G213" s="62"/>
      <c r="H213" s="62"/>
      <c r="I213" s="62"/>
      <c r="J213" s="62"/>
      <c r="K213" s="62"/>
      <c r="L213" s="62"/>
      <c r="M213" s="62"/>
      <c r="N213" s="62"/>
      <c r="O213" s="62"/>
      <c r="P213" s="62"/>
      <c r="Q213" s="59"/>
      <c r="R213" s="59"/>
      <c r="S213" s="59"/>
      <c r="T213" s="59"/>
      <c r="U213" s="59"/>
      <c r="V213" s="59"/>
      <c r="W213" s="59"/>
      <c r="X213" s="59"/>
      <c r="Y213" s="59"/>
      <c r="Z213" s="59"/>
      <c r="AA213" s="73"/>
      <c r="AB213" s="59"/>
      <c r="AC213" s="59"/>
      <c r="AD213" s="59"/>
      <c r="AE213" s="216"/>
      <c r="AF213" s="216"/>
      <c r="AG213" s="94"/>
      <c r="AH213" s="94"/>
      <c r="AI213" s="94"/>
      <c r="AJ213" s="94"/>
      <c r="AK213" s="94"/>
      <c r="AL213" s="62"/>
      <c r="AM213" s="59"/>
      <c r="AN213" s="59"/>
      <c r="AO213" s="62"/>
      <c r="AP213" s="62"/>
      <c r="AQ213" s="62"/>
      <c r="AR213" s="62"/>
      <c r="AS213" s="62"/>
      <c r="AT213" s="62"/>
      <c r="AU213" s="62"/>
      <c r="AV213" s="62"/>
      <c r="AW213" s="62"/>
      <c r="AX213" s="62"/>
    </row>
    <row r="214" spans="1:50" s="218" customFormat="1" ht="10" x14ac:dyDescent="0.25">
      <c r="A214" s="255"/>
      <c r="B214" s="59"/>
      <c r="C214" s="59"/>
      <c r="D214" s="62"/>
      <c r="E214" s="59"/>
      <c r="F214" s="62"/>
      <c r="G214" s="62"/>
      <c r="H214" s="62"/>
      <c r="I214" s="62"/>
      <c r="J214" s="62"/>
      <c r="K214" s="62"/>
      <c r="L214" s="62"/>
      <c r="M214" s="62"/>
      <c r="N214" s="62"/>
      <c r="O214" s="62"/>
      <c r="P214" s="62"/>
      <c r="Q214" s="59"/>
      <c r="R214" s="59"/>
      <c r="S214" s="59"/>
      <c r="T214" s="59"/>
      <c r="U214" s="59"/>
      <c r="V214" s="59"/>
      <c r="W214" s="59"/>
      <c r="X214" s="59"/>
      <c r="Y214" s="59"/>
      <c r="Z214" s="59"/>
      <c r="AA214" s="73"/>
      <c r="AB214" s="59"/>
      <c r="AC214" s="59"/>
      <c r="AD214" s="59"/>
      <c r="AE214" s="216"/>
      <c r="AF214" s="216"/>
      <c r="AG214" s="94"/>
      <c r="AH214" s="94"/>
      <c r="AI214" s="94"/>
      <c r="AJ214" s="94"/>
      <c r="AK214" s="94"/>
      <c r="AL214" s="62"/>
      <c r="AM214" s="59"/>
      <c r="AN214" s="59"/>
      <c r="AO214" s="62"/>
      <c r="AP214" s="62"/>
      <c r="AQ214" s="62"/>
      <c r="AR214" s="62"/>
      <c r="AS214" s="62"/>
      <c r="AT214" s="62"/>
      <c r="AU214" s="62"/>
      <c r="AV214" s="62"/>
      <c r="AW214" s="62"/>
      <c r="AX214" s="62"/>
    </row>
    <row r="215" spans="1:50" s="218" customFormat="1" ht="10" x14ac:dyDescent="0.25">
      <c r="A215" s="255"/>
      <c r="B215" s="59"/>
      <c r="C215" s="59"/>
      <c r="D215" s="62"/>
      <c r="E215" s="59"/>
      <c r="F215" s="62"/>
      <c r="G215" s="62"/>
      <c r="H215" s="62"/>
      <c r="I215" s="62"/>
      <c r="J215" s="62"/>
      <c r="K215" s="62"/>
      <c r="L215" s="62"/>
      <c r="M215" s="62"/>
      <c r="N215" s="62"/>
      <c r="O215" s="62"/>
      <c r="P215" s="62"/>
      <c r="Q215" s="59"/>
      <c r="R215" s="59"/>
      <c r="S215" s="59"/>
      <c r="T215" s="59"/>
      <c r="U215" s="59"/>
      <c r="V215" s="59"/>
      <c r="W215" s="59"/>
      <c r="X215" s="59"/>
      <c r="Y215" s="59"/>
      <c r="Z215" s="59"/>
      <c r="AA215" s="73"/>
      <c r="AB215" s="59"/>
      <c r="AC215" s="59"/>
      <c r="AD215" s="59"/>
      <c r="AE215" s="216"/>
      <c r="AF215" s="216"/>
      <c r="AG215" s="94"/>
      <c r="AH215" s="94"/>
      <c r="AI215" s="94"/>
      <c r="AJ215" s="94"/>
      <c r="AK215" s="94"/>
      <c r="AL215" s="62"/>
      <c r="AM215" s="59"/>
      <c r="AN215" s="59"/>
      <c r="AO215" s="62"/>
      <c r="AP215" s="62"/>
      <c r="AQ215" s="62"/>
      <c r="AR215" s="62"/>
      <c r="AS215" s="62"/>
      <c r="AT215" s="62"/>
      <c r="AU215" s="62"/>
      <c r="AV215" s="62"/>
      <c r="AW215" s="62"/>
      <c r="AX215" s="62"/>
    </row>
    <row r="216" spans="1:50" s="218" customFormat="1" ht="10" x14ac:dyDescent="0.25">
      <c r="A216" s="255"/>
      <c r="B216" s="59"/>
      <c r="C216" s="59"/>
      <c r="D216" s="62"/>
      <c r="E216" s="59"/>
      <c r="F216" s="62"/>
      <c r="G216" s="62"/>
      <c r="H216" s="62"/>
      <c r="I216" s="62"/>
      <c r="J216" s="62"/>
      <c r="K216" s="62"/>
      <c r="L216" s="62"/>
      <c r="M216" s="62"/>
      <c r="N216" s="62"/>
      <c r="O216" s="62"/>
      <c r="P216" s="62"/>
      <c r="Q216" s="59"/>
      <c r="R216" s="59"/>
      <c r="S216" s="59"/>
      <c r="T216" s="59"/>
      <c r="U216" s="59"/>
      <c r="V216" s="59"/>
      <c r="W216" s="59"/>
      <c r="X216" s="59"/>
      <c r="Y216" s="59"/>
      <c r="Z216" s="59"/>
      <c r="AA216" s="73"/>
      <c r="AB216" s="59"/>
      <c r="AC216" s="59"/>
      <c r="AD216" s="59"/>
      <c r="AE216" s="216"/>
      <c r="AF216" s="216"/>
      <c r="AG216" s="94"/>
      <c r="AH216" s="94"/>
      <c r="AI216" s="94"/>
      <c r="AJ216" s="94"/>
      <c r="AK216" s="94"/>
      <c r="AL216" s="62"/>
      <c r="AM216" s="59"/>
      <c r="AN216" s="59"/>
      <c r="AO216" s="62"/>
      <c r="AP216" s="62"/>
      <c r="AQ216" s="62"/>
      <c r="AR216" s="62"/>
      <c r="AS216" s="62"/>
      <c r="AT216" s="62"/>
      <c r="AU216" s="62"/>
      <c r="AV216" s="62"/>
      <c r="AW216" s="62"/>
      <c r="AX216" s="62"/>
    </row>
    <row r="217" spans="1:50" s="218" customFormat="1" ht="10" x14ac:dyDescent="0.25">
      <c r="A217" s="255"/>
      <c r="B217" s="59"/>
      <c r="C217" s="59"/>
      <c r="D217" s="62"/>
      <c r="E217" s="59"/>
      <c r="F217" s="62"/>
      <c r="G217" s="62"/>
      <c r="H217" s="62"/>
      <c r="I217" s="62"/>
      <c r="J217" s="62"/>
      <c r="K217" s="62"/>
      <c r="L217" s="62"/>
      <c r="M217" s="62"/>
      <c r="N217" s="62"/>
      <c r="O217" s="62"/>
      <c r="P217" s="62"/>
      <c r="Q217" s="59"/>
      <c r="R217" s="59"/>
      <c r="S217" s="59"/>
      <c r="T217" s="59"/>
      <c r="U217" s="59"/>
      <c r="V217" s="59"/>
      <c r="W217" s="59"/>
      <c r="X217" s="59"/>
      <c r="Y217" s="59"/>
      <c r="Z217" s="59"/>
      <c r="AA217" s="73"/>
      <c r="AB217" s="59"/>
      <c r="AC217" s="59"/>
      <c r="AD217" s="59"/>
      <c r="AE217" s="216"/>
      <c r="AF217" s="216"/>
      <c r="AG217" s="94"/>
      <c r="AH217" s="94"/>
      <c r="AI217" s="94"/>
      <c r="AJ217" s="94"/>
      <c r="AK217" s="94"/>
      <c r="AL217" s="62"/>
      <c r="AM217" s="59"/>
      <c r="AN217" s="59"/>
      <c r="AO217" s="62"/>
      <c r="AP217" s="62"/>
      <c r="AQ217" s="62"/>
      <c r="AR217" s="62"/>
      <c r="AS217" s="62"/>
      <c r="AT217" s="62"/>
      <c r="AU217" s="62"/>
      <c r="AV217" s="62"/>
      <c r="AW217" s="62"/>
      <c r="AX217" s="62"/>
    </row>
    <row r="218" spans="1:50" s="218" customFormat="1" ht="10" x14ac:dyDescent="0.25">
      <c r="A218" s="255"/>
      <c r="B218" s="59"/>
      <c r="C218" s="59"/>
      <c r="D218" s="62"/>
      <c r="E218" s="59"/>
      <c r="F218" s="62"/>
      <c r="G218" s="62"/>
      <c r="H218" s="62"/>
      <c r="I218" s="62"/>
      <c r="J218" s="62"/>
      <c r="K218" s="62"/>
      <c r="L218" s="62"/>
      <c r="M218" s="62"/>
      <c r="N218" s="62"/>
      <c r="O218" s="62"/>
      <c r="P218" s="62"/>
      <c r="Q218" s="59"/>
      <c r="R218" s="59"/>
      <c r="S218" s="59"/>
      <c r="T218" s="59"/>
      <c r="U218" s="59"/>
      <c r="V218" s="59"/>
      <c r="W218" s="59"/>
      <c r="X218" s="59"/>
      <c r="Y218" s="59"/>
      <c r="Z218" s="59"/>
      <c r="AA218" s="73"/>
      <c r="AB218" s="59"/>
      <c r="AC218" s="59"/>
      <c r="AD218" s="59"/>
      <c r="AE218" s="216"/>
      <c r="AF218" s="216"/>
      <c r="AG218" s="94"/>
      <c r="AH218" s="94"/>
      <c r="AI218" s="94"/>
      <c r="AJ218" s="94"/>
      <c r="AK218" s="94"/>
      <c r="AL218" s="62"/>
      <c r="AM218" s="59"/>
      <c r="AN218" s="59"/>
      <c r="AO218" s="62"/>
      <c r="AP218" s="62"/>
      <c r="AQ218" s="62"/>
      <c r="AR218" s="62"/>
      <c r="AS218" s="62"/>
      <c r="AT218" s="62"/>
      <c r="AU218" s="62"/>
      <c r="AV218" s="62"/>
      <c r="AW218" s="62"/>
      <c r="AX218" s="62"/>
    </row>
    <row r="219" spans="1:50" s="218" customFormat="1" ht="10" x14ac:dyDescent="0.25">
      <c r="A219" s="255"/>
      <c r="B219" s="59"/>
      <c r="C219" s="59"/>
      <c r="D219" s="62"/>
      <c r="E219" s="59"/>
      <c r="F219" s="62"/>
      <c r="G219" s="62"/>
      <c r="H219" s="62"/>
      <c r="I219" s="62"/>
      <c r="J219" s="62"/>
      <c r="K219" s="62"/>
      <c r="L219" s="62"/>
      <c r="M219" s="62"/>
      <c r="N219" s="62"/>
      <c r="O219" s="62"/>
      <c r="P219" s="62"/>
      <c r="Q219" s="59"/>
      <c r="R219" s="59"/>
      <c r="S219" s="59"/>
      <c r="T219" s="59"/>
      <c r="U219" s="59"/>
      <c r="V219" s="59"/>
      <c r="W219" s="59"/>
      <c r="X219" s="59"/>
      <c r="Y219" s="59"/>
      <c r="Z219" s="59"/>
      <c r="AA219" s="73"/>
      <c r="AB219" s="59"/>
      <c r="AC219" s="59"/>
      <c r="AD219" s="59"/>
      <c r="AE219" s="216"/>
      <c r="AF219" s="216"/>
      <c r="AG219" s="94"/>
      <c r="AH219" s="94"/>
      <c r="AI219" s="94"/>
      <c r="AJ219" s="94"/>
      <c r="AK219" s="94"/>
      <c r="AL219" s="62"/>
      <c r="AM219" s="59"/>
      <c r="AN219" s="59"/>
      <c r="AO219" s="62"/>
      <c r="AP219" s="62"/>
      <c r="AQ219" s="62"/>
      <c r="AR219" s="62"/>
      <c r="AS219" s="62"/>
      <c r="AT219" s="62"/>
      <c r="AU219" s="62"/>
      <c r="AV219" s="62"/>
      <c r="AW219" s="62"/>
      <c r="AX219" s="62"/>
    </row>
    <row r="220" spans="1:50" s="218" customFormat="1" ht="10" x14ac:dyDescent="0.25">
      <c r="A220" s="255"/>
      <c r="B220" s="59"/>
      <c r="C220" s="59"/>
      <c r="D220" s="62"/>
      <c r="E220" s="59"/>
      <c r="F220" s="62"/>
      <c r="G220" s="62"/>
      <c r="H220" s="62"/>
      <c r="I220" s="62"/>
      <c r="J220" s="62"/>
      <c r="K220" s="62"/>
      <c r="L220" s="62"/>
      <c r="M220" s="62"/>
      <c r="N220" s="62"/>
      <c r="O220" s="62"/>
      <c r="P220" s="62"/>
      <c r="Q220" s="59"/>
      <c r="R220" s="59"/>
      <c r="S220" s="59"/>
      <c r="T220" s="59"/>
      <c r="U220" s="59"/>
      <c r="V220" s="59"/>
      <c r="W220" s="59"/>
      <c r="X220" s="59"/>
      <c r="Y220" s="59"/>
      <c r="Z220" s="59"/>
      <c r="AA220" s="73"/>
      <c r="AB220" s="59"/>
      <c r="AC220" s="59"/>
      <c r="AD220" s="59"/>
      <c r="AE220" s="216"/>
      <c r="AF220" s="216"/>
      <c r="AG220" s="94"/>
      <c r="AH220" s="94"/>
      <c r="AI220" s="94"/>
      <c r="AJ220" s="94"/>
      <c r="AK220" s="94"/>
      <c r="AL220" s="62"/>
      <c r="AM220" s="59"/>
      <c r="AN220" s="59"/>
      <c r="AO220" s="62"/>
      <c r="AP220" s="62"/>
      <c r="AQ220" s="62"/>
      <c r="AR220" s="62"/>
      <c r="AS220" s="62"/>
      <c r="AT220" s="62"/>
      <c r="AU220" s="62"/>
      <c r="AV220" s="62"/>
      <c r="AW220" s="62"/>
      <c r="AX220" s="62"/>
    </row>
    <row r="221" spans="1:50" s="218" customFormat="1" ht="10" x14ac:dyDescent="0.25">
      <c r="A221" s="255"/>
      <c r="B221" s="59"/>
      <c r="C221" s="59"/>
      <c r="D221" s="62"/>
      <c r="E221" s="59"/>
      <c r="F221" s="62"/>
      <c r="G221" s="62"/>
      <c r="H221" s="62"/>
      <c r="I221" s="62"/>
      <c r="J221" s="62"/>
      <c r="K221" s="62"/>
      <c r="L221" s="62"/>
      <c r="M221" s="62"/>
      <c r="N221" s="62"/>
      <c r="O221" s="62"/>
      <c r="P221" s="62"/>
      <c r="Q221" s="59"/>
      <c r="R221" s="59"/>
      <c r="S221" s="59"/>
      <c r="T221" s="59"/>
      <c r="U221" s="59"/>
      <c r="V221" s="59"/>
      <c r="W221" s="59"/>
      <c r="X221" s="59"/>
      <c r="Y221" s="59"/>
      <c r="Z221" s="59"/>
      <c r="AA221" s="73"/>
      <c r="AB221" s="59"/>
      <c r="AC221" s="59"/>
      <c r="AD221" s="59"/>
      <c r="AE221" s="216"/>
      <c r="AF221" s="216"/>
      <c r="AG221" s="94"/>
      <c r="AH221" s="94"/>
      <c r="AI221" s="94"/>
      <c r="AJ221" s="94"/>
      <c r="AK221" s="94"/>
      <c r="AL221" s="62"/>
      <c r="AM221" s="59"/>
      <c r="AN221" s="59"/>
      <c r="AO221" s="62"/>
      <c r="AP221" s="62"/>
      <c r="AQ221" s="62"/>
      <c r="AR221" s="62"/>
      <c r="AS221" s="62"/>
      <c r="AT221" s="62"/>
      <c r="AU221" s="62"/>
      <c r="AV221" s="62"/>
      <c r="AW221" s="62"/>
      <c r="AX221" s="62"/>
    </row>
    <row r="222" spans="1:50" s="218" customFormat="1" ht="10" x14ac:dyDescent="0.25">
      <c r="A222" s="255"/>
      <c r="B222" s="59"/>
      <c r="C222" s="59"/>
      <c r="D222" s="62"/>
      <c r="E222" s="59"/>
      <c r="F222" s="62"/>
      <c r="G222" s="62"/>
      <c r="H222" s="62"/>
      <c r="I222" s="62"/>
      <c r="J222" s="62"/>
      <c r="K222" s="62"/>
      <c r="L222" s="62"/>
      <c r="M222" s="62"/>
      <c r="N222" s="62"/>
      <c r="O222" s="62"/>
      <c r="P222" s="62"/>
      <c r="Q222" s="59"/>
      <c r="R222" s="59"/>
      <c r="S222" s="59"/>
      <c r="T222" s="59"/>
      <c r="U222" s="59"/>
      <c r="V222" s="59"/>
      <c r="W222" s="59"/>
      <c r="X222" s="59"/>
      <c r="Y222" s="59"/>
      <c r="Z222" s="59"/>
      <c r="AA222" s="73"/>
      <c r="AB222" s="59"/>
      <c r="AC222" s="59"/>
      <c r="AD222" s="59"/>
      <c r="AE222" s="216"/>
      <c r="AF222" s="216"/>
      <c r="AG222" s="94"/>
      <c r="AH222" s="94"/>
      <c r="AI222" s="94"/>
      <c r="AJ222" s="94"/>
      <c r="AK222" s="94"/>
      <c r="AL222" s="62"/>
      <c r="AM222" s="59"/>
      <c r="AN222" s="59"/>
      <c r="AO222" s="62"/>
      <c r="AP222" s="62"/>
      <c r="AQ222" s="62"/>
      <c r="AR222" s="62"/>
      <c r="AS222" s="62"/>
      <c r="AT222" s="62"/>
      <c r="AU222" s="62"/>
      <c r="AV222" s="62"/>
      <c r="AW222" s="62"/>
      <c r="AX222" s="62"/>
    </row>
    <row r="223" spans="1:50" s="218" customFormat="1" ht="10" x14ac:dyDescent="0.25">
      <c r="A223" s="255"/>
      <c r="B223" s="59"/>
      <c r="C223" s="59"/>
      <c r="D223" s="62"/>
      <c r="E223" s="59"/>
      <c r="F223" s="62"/>
      <c r="G223" s="62"/>
      <c r="H223" s="62"/>
      <c r="I223" s="62"/>
      <c r="J223" s="62"/>
      <c r="K223" s="62"/>
      <c r="L223" s="62"/>
      <c r="M223" s="62"/>
      <c r="N223" s="62"/>
      <c r="O223" s="62"/>
      <c r="P223" s="62"/>
      <c r="Q223" s="59"/>
      <c r="R223" s="59"/>
      <c r="S223" s="59"/>
      <c r="T223" s="59"/>
      <c r="U223" s="59"/>
      <c r="V223" s="59"/>
      <c r="W223" s="59"/>
      <c r="X223" s="59"/>
      <c r="Y223" s="59"/>
      <c r="Z223" s="59"/>
      <c r="AA223" s="73"/>
      <c r="AB223" s="59"/>
      <c r="AC223" s="59"/>
      <c r="AD223" s="59"/>
      <c r="AE223" s="216"/>
      <c r="AF223" s="216"/>
      <c r="AG223" s="94"/>
      <c r="AH223" s="94"/>
      <c r="AI223" s="94"/>
      <c r="AJ223" s="94"/>
      <c r="AK223" s="94"/>
      <c r="AL223" s="62"/>
      <c r="AM223" s="59"/>
      <c r="AN223" s="59"/>
      <c r="AO223" s="62"/>
      <c r="AP223" s="62"/>
      <c r="AQ223" s="62"/>
      <c r="AR223" s="62"/>
      <c r="AS223" s="62"/>
      <c r="AT223" s="62"/>
      <c r="AU223" s="62"/>
      <c r="AV223" s="62"/>
      <c r="AW223" s="62"/>
      <c r="AX223" s="62"/>
    </row>
    <row r="224" spans="1:50" s="218" customFormat="1" ht="10" x14ac:dyDescent="0.25">
      <c r="A224" s="255"/>
      <c r="B224" s="59"/>
      <c r="C224" s="59"/>
      <c r="D224" s="62"/>
      <c r="E224" s="59"/>
      <c r="F224" s="62"/>
      <c r="G224" s="62"/>
      <c r="H224" s="62"/>
      <c r="I224" s="62"/>
      <c r="J224" s="62"/>
      <c r="K224" s="62"/>
      <c r="L224" s="62"/>
      <c r="M224" s="62"/>
      <c r="N224" s="62"/>
      <c r="O224" s="62"/>
      <c r="P224" s="62"/>
      <c r="Q224" s="59"/>
      <c r="R224" s="59"/>
      <c r="S224" s="59"/>
      <c r="T224" s="59"/>
      <c r="U224" s="59"/>
      <c r="V224" s="59"/>
      <c r="W224" s="59"/>
      <c r="X224" s="59"/>
      <c r="Y224" s="59"/>
      <c r="Z224" s="59"/>
      <c r="AA224" s="73"/>
      <c r="AB224" s="59"/>
      <c r="AC224" s="59"/>
      <c r="AD224" s="59"/>
      <c r="AE224" s="216"/>
      <c r="AF224" s="216"/>
      <c r="AG224" s="94"/>
      <c r="AH224" s="94"/>
      <c r="AI224" s="94"/>
      <c r="AJ224" s="94"/>
      <c r="AK224" s="94"/>
      <c r="AL224" s="62"/>
      <c r="AM224" s="59"/>
      <c r="AN224" s="59"/>
      <c r="AO224" s="62"/>
      <c r="AP224" s="62"/>
      <c r="AQ224" s="62"/>
      <c r="AR224" s="62"/>
      <c r="AS224" s="62"/>
      <c r="AT224" s="62"/>
      <c r="AU224" s="62"/>
      <c r="AV224" s="62"/>
      <c r="AW224" s="62"/>
      <c r="AX224" s="62"/>
    </row>
    <row r="225" spans="1:50" s="218" customFormat="1" ht="10" x14ac:dyDescent="0.25">
      <c r="A225" s="255"/>
      <c r="B225" s="59"/>
      <c r="C225" s="59"/>
      <c r="D225" s="62"/>
      <c r="E225" s="59"/>
      <c r="F225" s="62"/>
      <c r="G225" s="62"/>
      <c r="H225" s="62"/>
      <c r="I225" s="62"/>
      <c r="J225" s="62"/>
      <c r="K225" s="62"/>
      <c r="L225" s="62"/>
      <c r="M225" s="62"/>
      <c r="N225" s="62"/>
      <c r="O225" s="62"/>
      <c r="P225" s="62"/>
      <c r="Q225" s="59"/>
      <c r="R225" s="59"/>
      <c r="S225" s="59"/>
      <c r="T225" s="59"/>
      <c r="U225" s="59"/>
      <c r="V225" s="59"/>
      <c r="W225" s="59"/>
      <c r="X225" s="59"/>
      <c r="Y225" s="59"/>
      <c r="Z225" s="59"/>
      <c r="AA225" s="73"/>
      <c r="AB225" s="59"/>
      <c r="AC225" s="59"/>
      <c r="AD225" s="59"/>
      <c r="AE225" s="216"/>
      <c r="AF225" s="216"/>
      <c r="AG225" s="94"/>
      <c r="AH225" s="94"/>
      <c r="AI225" s="94"/>
      <c r="AJ225" s="94"/>
      <c r="AK225" s="94"/>
      <c r="AL225" s="62"/>
      <c r="AM225" s="59"/>
      <c r="AN225" s="59"/>
      <c r="AO225" s="62"/>
      <c r="AP225" s="62"/>
      <c r="AQ225" s="62"/>
      <c r="AR225" s="62"/>
      <c r="AS225" s="62"/>
      <c r="AT225" s="62"/>
      <c r="AU225" s="62"/>
      <c r="AV225" s="62"/>
      <c r="AW225" s="62"/>
      <c r="AX225" s="62"/>
    </row>
    <row r="226" spans="1:50" s="218" customFormat="1" ht="10" x14ac:dyDescent="0.25">
      <c r="A226" s="255"/>
      <c r="B226" s="59"/>
      <c r="C226" s="59"/>
      <c r="D226" s="62"/>
      <c r="E226" s="59"/>
      <c r="F226" s="62"/>
      <c r="G226" s="62"/>
      <c r="H226" s="62"/>
      <c r="I226" s="62"/>
      <c r="J226" s="62"/>
      <c r="K226" s="62"/>
      <c r="L226" s="62"/>
      <c r="M226" s="62"/>
      <c r="N226" s="62"/>
      <c r="O226" s="62"/>
      <c r="P226" s="62"/>
      <c r="Q226" s="59"/>
      <c r="R226" s="59"/>
      <c r="S226" s="59"/>
      <c r="T226" s="59"/>
      <c r="U226" s="59"/>
      <c r="V226" s="59"/>
      <c r="W226" s="59"/>
      <c r="X226" s="59"/>
      <c r="Y226" s="59"/>
      <c r="Z226" s="59"/>
      <c r="AA226" s="73"/>
      <c r="AB226" s="59"/>
      <c r="AC226" s="59"/>
      <c r="AD226" s="59"/>
      <c r="AE226" s="216"/>
      <c r="AF226" s="216"/>
      <c r="AG226" s="94"/>
      <c r="AH226" s="94"/>
      <c r="AI226" s="94"/>
      <c r="AJ226" s="94"/>
      <c r="AK226" s="94"/>
      <c r="AL226" s="62"/>
      <c r="AM226" s="59"/>
      <c r="AN226" s="59"/>
      <c r="AO226" s="62"/>
      <c r="AP226" s="62"/>
      <c r="AQ226" s="62"/>
      <c r="AR226" s="62"/>
      <c r="AS226" s="62"/>
      <c r="AT226" s="62"/>
      <c r="AU226" s="62"/>
      <c r="AV226" s="62"/>
      <c r="AW226" s="62"/>
      <c r="AX226" s="62"/>
    </row>
    <row r="227" spans="1:50" s="218" customFormat="1" ht="10" x14ac:dyDescent="0.25">
      <c r="A227" s="255"/>
      <c r="B227" s="59"/>
      <c r="C227" s="59"/>
      <c r="D227" s="62"/>
      <c r="E227" s="59"/>
      <c r="F227" s="62"/>
      <c r="G227" s="62"/>
      <c r="H227" s="62"/>
      <c r="I227" s="62"/>
      <c r="J227" s="62"/>
      <c r="K227" s="62"/>
      <c r="L227" s="62"/>
      <c r="M227" s="62"/>
      <c r="N227" s="62"/>
      <c r="O227" s="62"/>
      <c r="P227" s="62"/>
      <c r="Q227" s="59"/>
      <c r="R227" s="59"/>
      <c r="S227" s="59"/>
      <c r="T227" s="59"/>
      <c r="U227" s="59"/>
      <c r="V227" s="59"/>
      <c r="W227" s="59"/>
      <c r="X227" s="59"/>
      <c r="Y227" s="59"/>
      <c r="Z227" s="59"/>
      <c r="AA227" s="73"/>
      <c r="AB227" s="59"/>
      <c r="AC227" s="59"/>
      <c r="AD227" s="59"/>
      <c r="AE227" s="216"/>
      <c r="AF227" s="216"/>
      <c r="AG227" s="94"/>
      <c r="AH227" s="94"/>
      <c r="AI227" s="94"/>
      <c r="AJ227" s="94"/>
      <c r="AK227" s="94"/>
      <c r="AL227" s="62"/>
      <c r="AM227" s="59"/>
      <c r="AN227" s="59"/>
      <c r="AO227" s="62"/>
      <c r="AP227" s="62"/>
      <c r="AQ227" s="62"/>
      <c r="AR227" s="62"/>
      <c r="AS227" s="62"/>
      <c r="AT227" s="62"/>
      <c r="AU227" s="62"/>
      <c r="AV227" s="62"/>
      <c r="AW227" s="62"/>
      <c r="AX227" s="62"/>
    </row>
    <row r="228" spans="1:50" s="218" customFormat="1" ht="10" x14ac:dyDescent="0.25">
      <c r="A228" s="255"/>
      <c r="B228" s="59"/>
      <c r="C228" s="59"/>
      <c r="D228" s="62"/>
      <c r="E228" s="59"/>
      <c r="F228" s="62"/>
      <c r="G228" s="62"/>
      <c r="H228" s="62"/>
      <c r="I228" s="62"/>
      <c r="J228" s="62"/>
      <c r="K228" s="62"/>
      <c r="L228" s="62"/>
      <c r="M228" s="62"/>
      <c r="N228" s="62"/>
      <c r="O228" s="62"/>
      <c r="P228" s="62"/>
      <c r="Q228" s="59"/>
      <c r="R228" s="59"/>
      <c r="S228" s="59"/>
      <c r="T228" s="59"/>
      <c r="U228" s="59"/>
      <c r="V228" s="59"/>
      <c r="W228" s="59"/>
      <c r="X228" s="59"/>
      <c r="Y228" s="59"/>
      <c r="Z228" s="59"/>
      <c r="AA228" s="73"/>
      <c r="AB228" s="59"/>
      <c r="AC228" s="59"/>
      <c r="AD228" s="59"/>
      <c r="AE228" s="216"/>
      <c r="AF228" s="216"/>
      <c r="AG228" s="94"/>
      <c r="AH228" s="94"/>
      <c r="AI228" s="94"/>
      <c r="AJ228" s="94"/>
      <c r="AK228" s="94"/>
      <c r="AL228" s="62"/>
      <c r="AM228" s="59"/>
      <c r="AN228" s="59"/>
      <c r="AO228" s="62"/>
      <c r="AP228" s="62"/>
      <c r="AQ228" s="62"/>
      <c r="AR228" s="62"/>
      <c r="AS228" s="62"/>
      <c r="AT228" s="62"/>
      <c r="AU228" s="62"/>
      <c r="AV228" s="62"/>
      <c r="AW228" s="62"/>
      <c r="AX228" s="62"/>
    </row>
    <row r="229" spans="1:50" s="218" customFormat="1" ht="10" x14ac:dyDescent="0.25">
      <c r="A229" s="255"/>
      <c r="B229" s="59"/>
      <c r="C229" s="59"/>
      <c r="D229" s="62"/>
      <c r="E229" s="59"/>
      <c r="F229" s="62"/>
      <c r="G229" s="62"/>
      <c r="H229" s="62"/>
      <c r="I229" s="62"/>
      <c r="J229" s="62"/>
      <c r="K229" s="62"/>
      <c r="L229" s="62"/>
      <c r="M229" s="62"/>
      <c r="N229" s="62"/>
      <c r="O229" s="62"/>
      <c r="P229" s="62"/>
      <c r="Q229" s="59"/>
      <c r="R229" s="59"/>
      <c r="S229" s="59"/>
      <c r="T229" s="59"/>
      <c r="U229" s="59"/>
      <c r="V229" s="59"/>
      <c r="W229" s="59"/>
      <c r="X229" s="59"/>
      <c r="Y229" s="59"/>
      <c r="Z229" s="59"/>
      <c r="AA229" s="73"/>
      <c r="AB229" s="59"/>
      <c r="AC229" s="59"/>
      <c r="AD229" s="59"/>
      <c r="AE229" s="216"/>
      <c r="AF229" s="216"/>
      <c r="AG229" s="94"/>
      <c r="AH229" s="94"/>
      <c r="AI229" s="94"/>
      <c r="AJ229" s="94"/>
      <c r="AK229" s="94"/>
      <c r="AL229" s="62"/>
      <c r="AM229" s="59"/>
      <c r="AN229" s="59"/>
      <c r="AO229" s="62"/>
      <c r="AP229" s="62"/>
      <c r="AQ229" s="62"/>
      <c r="AR229" s="62"/>
      <c r="AS229" s="62"/>
      <c r="AT229" s="62"/>
      <c r="AU229" s="62"/>
      <c r="AV229" s="62"/>
      <c r="AW229" s="62"/>
      <c r="AX229" s="62"/>
    </row>
    <row r="230" spans="1:50" s="218" customFormat="1" ht="10" x14ac:dyDescent="0.25">
      <c r="A230" s="255"/>
      <c r="B230" s="59"/>
      <c r="C230" s="59"/>
      <c r="D230" s="62"/>
      <c r="E230" s="59"/>
      <c r="F230" s="62"/>
      <c r="G230" s="62"/>
      <c r="H230" s="62"/>
      <c r="I230" s="62"/>
      <c r="J230" s="62"/>
      <c r="K230" s="62"/>
      <c r="L230" s="62"/>
      <c r="M230" s="62"/>
      <c r="N230" s="62"/>
      <c r="O230" s="62"/>
      <c r="P230" s="62"/>
      <c r="Q230" s="59"/>
      <c r="R230" s="59"/>
      <c r="S230" s="59"/>
      <c r="T230" s="59"/>
      <c r="U230" s="59"/>
      <c r="V230" s="59"/>
      <c r="W230" s="59"/>
      <c r="X230" s="59"/>
      <c r="Y230" s="59"/>
      <c r="Z230" s="59"/>
      <c r="AA230" s="73"/>
      <c r="AB230" s="59"/>
      <c r="AC230" s="59"/>
      <c r="AD230" s="59"/>
      <c r="AE230" s="216"/>
      <c r="AF230" s="216"/>
      <c r="AG230" s="94"/>
      <c r="AH230" s="94"/>
      <c r="AI230" s="94"/>
      <c r="AJ230" s="94"/>
      <c r="AK230" s="94"/>
      <c r="AL230" s="62"/>
      <c r="AM230" s="59"/>
      <c r="AN230" s="59"/>
      <c r="AO230" s="62"/>
      <c r="AP230" s="62"/>
      <c r="AQ230" s="62"/>
      <c r="AR230" s="62"/>
      <c r="AS230" s="62"/>
      <c r="AT230" s="62"/>
      <c r="AU230" s="62"/>
      <c r="AV230" s="62"/>
      <c r="AW230" s="62"/>
      <c r="AX230" s="62"/>
    </row>
    <row r="231" spans="1:50" s="218" customFormat="1" ht="10" x14ac:dyDescent="0.25">
      <c r="A231" s="255"/>
      <c r="B231" s="59"/>
      <c r="C231" s="59"/>
      <c r="D231" s="62"/>
      <c r="E231" s="59"/>
      <c r="F231" s="62"/>
      <c r="G231" s="62"/>
      <c r="H231" s="62"/>
      <c r="I231" s="62"/>
      <c r="J231" s="62"/>
      <c r="K231" s="62"/>
      <c r="L231" s="62"/>
      <c r="M231" s="62"/>
      <c r="N231" s="62"/>
      <c r="O231" s="62"/>
      <c r="P231" s="62"/>
      <c r="Q231" s="59"/>
      <c r="R231" s="59"/>
      <c r="S231" s="59"/>
      <c r="T231" s="59"/>
      <c r="U231" s="59"/>
      <c r="V231" s="59"/>
      <c r="W231" s="59"/>
      <c r="X231" s="59"/>
      <c r="Y231" s="59"/>
      <c r="Z231" s="59"/>
      <c r="AA231" s="73"/>
      <c r="AB231" s="59"/>
      <c r="AC231" s="59"/>
      <c r="AD231" s="59"/>
      <c r="AE231" s="216"/>
      <c r="AF231" s="216"/>
      <c r="AG231" s="94"/>
      <c r="AH231" s="94"/>
      <c r="AI231" s="94"/>
      <c r="AJ231" s="94"/>
      <c r="AK231" s="94"/>
      <c r="AL231" s="62"/>
      <c r="AM231" s="59"/>
      <c r="AN231" s="59"/>
      <c r="AO231" s="62"/>
      <c r="AP231" s="62"/>
      <c r="AQ231" s="62"/>
      <c r="AR231" s="62"/>
      <c r="AS231" s="62"/>
      <c r="AT231" s="62"/>
      <c r="AU231" s="62"/>
      <c r="AV231" s="62"/>
      <c r="AW231" s="62"/>
      <c r="AX231" s="62"/>
    </row>
    <row r="232" spans="1:50" s="218" customFormat="1" ht="10" x14ac:dyDescent="0.25">
      <c r="A232" s="255"/>
      <c r="B232" s="59"/>
      <c r="C232" s="59"/>
      <c r="D232" s="62"/>
      <c r="E232" s="59"/>
      <c r="F232" s="62"/>
      <c r="G232" s="62"/>
      <c r="H232" s="62"/>
      <c r="I232" s="62"/>
      <c r="J232" s="62"/>
      <c r="K232" s="62"/>
      <c r="L232" s="62"/>
      <c r="M232" s="62"/>
      <c r="N232" s="62"/>
      <c r="O232" s="62"/>
      <c r="P232" s="62"/>
      <c r="Q232" s="59"/>
      <c r="R232" s="59"/>
      <c r="S232" s="59"/>
      <c r="T232" s="59"/>
      <c r="U232" s="59"/>
      <c r="V232" s="59"/>
      <c r="W232" s="59"/>
      <c r="X232" s="59"/>
      <c r="Y232" s="59"/>
      <c r="Z232" s="59"/>
      <c r="AA232" s="73"/>
      <c r="AB232" s="59"/>
      <c r="AC232" s="59"/>
      <c r="AD232" s="59"/>
      <c r="AE232" s="216"/>
      <c r="AF232" s="216"/>
      <c r="AG232" s="94"/>
      <c r="AH232" s="94"/>
      <c r="AI232" s="94"/>
      <c r="AJ232" s="94"/>
      <c r="AK232" s="94"/>
      <c r="AL232" s="62"/>
      <c r="AM232" s="59"/>
      <c r="AN232" s="59"/>
      <c r="AO232" s="62"/>
      <c r="AP232" s="62"/>
      <c r="AQ232" s="62"/>
      <c r="AR232" s="62"/>
      <c r="AS232" s="62"/>
      <c r="AT232" s="62"/>
      <c r="AU232" s="62"/>
      <c r="AV232" s="62"/>
      <c r="AW232" s="62"/>
      <c r="AX232" s="62"/>
    </row>
    <row r="233" spans="1:50" s="218" customFormat="1" ht="10" x14ac:dyDescent="0.25">
      <c r="A233" s="255"/>
      <c r="B233" s="59"/>
      <c r="C233" s="59"/>
      <c r="D233" s="62"/>
      <c r="E233" s="59"/>
      <c r="F233" s="62"/>
      <c r="G233" s="62"/>
      <c r="H233" s="62"/>
      <c r="I233" s="62"/>
      <c r="J233" s="62"/>
      <c r="K233" s="62"/>
      <c r="L233" s="62"/>
      <c r="M233" s="62"/>
      <c r="N233" s="62"/>
      <c r="O233" s="62"/>
      <c r="P233" s="62"/>
      <c r="Q233" s="59"/>
      <c r="R233" s="59"/>
      <c r="S233" s="59"/>
      <c r="T233" s="59"/>
      <c r="U233" s="59"/>
      <c r="V233" s="59"/>
      <c r="W233" s="59"/>
      <c r="X233" s="59"/>
      <c r="Y233" s="59"/>
      <c r="Z233" s="59"/>
      <c r="AA233" s="73"/>
      <c r="AB233" s="59"/>
      <c r="AC233" s="59"/>
      <c r="AD233" s="59"/>
      <c r="AE233" s="216"/>
      <c r="AF233" s="216"/>
      <c r="AG233" s="94"/>
      <c r="AH233" s="94"/>
      <c r="AI233" s="94"/>
      <c r="AJ233" s="94"/>
      <c r="AK233" s="94"/>
      <c r="AL233" s="62"/>
      <c r="AM233" s="59"/>
      <c r="AN233" s="59"/>
      <c r="AO233" s="62"/>
      <c r="AP233" s="62"/>
      <c r="AQ233" s="62"/>
      <c r="AR233" s="62"/>
      <c r="AS233" s="62"/>
      <c r="AT233" s="62"/>
      <c r="AU233" s="62"/>
      <c r="AV233" s="62"/>
      <c r="AW233" s="62"/>
      <c r="AX233" s="62"/>
    </row>
    <row r="234" spans="1:50" s="218" customFormat="1" ht="10" x14ac:dyDescent="0.25">
      <c r="A234" s="255"/>
      <c r="B234" s="59"/>
      <c r="C234" s="59"/>
      <c r="D234" s="62"/>
      <c r="E234" s="59"/>
      <c r="F234" s="62"/>
      <c r="G234" s="62"/>
      <c r="H234" s="62"/>
      <c r="I234" s="62"/>
      <c r="J234" s="62"/>
      <c r="K234" s="62"/>
      <c r="L234" s="62"/>
      <c r="M234" s="62"/>
      <c r="N234" s="62"/>
      <c r="O234" s="62"/>
      <c r="P234" s="62"/>
      <c r="Q234" s="59"/>
      <c r="R234" s="59"/>
      <c r="S234" s="59"/>
      <c r="T234" s="59"/>
      <c r="U234" s="59"/>
      <c r="V234" s="59"/>
      <c r="W234" s="59"/>
      <c r="X234" s="59"/>
      <c r="Y234" s="59"/>
      <c r="Z234" s="59"/>
      <c r="AA234" s="73"/>
      <c r="AB234" s="59"/>
      <c r="AC234" s="59"/>
      <c r="AD234" s="59"/>
      <c r="AE234" s="216"/>
      <c r="AF234" s="216"/>
      <c r="AG234" s="94"/>
      <c r="AH234" s="94"/>
      <c r="AI234" s="94"/>
      <c r="AJ234" s="94"/>
      <c r="AK234" s="94"/>
      <c r="AL234" s="62"/>
      <c r="AM234" s="59"/>
      <c r="AN234" s="59"/>
      <c r="AO234" s="62"/>
      <c r="AP234" s="62"/>
      <c r="AQ234" s="62"/>
      <c r="AR234" s="62"/>
      <c r="AS234" s="62"/>
      <c r="AT234" s="62"/>
      <c r="AU234" s="62"/>
      <c r="AV234" s="62"/>
      <c r="AW234" s="62"/>
      <c r="AX234" s="62"/>
    </row>
    <row r="235" spans="1:50" s="218" customFormat="1" ht="10" x14ac:dyDescent="0.25">
      <c r="A235" s="255"/>
      <c r="B235" s="59"/>
      <c r="C235" s="59"/>
      <c r="D235" s="62"/>
      <c r="E235" s="59"/>
      <c r="F235" s="62"/>
      <c r="G235" s="62"/>
      <c r="H235" s="62"/>
      <c r="I235" s="62"/>
      <c r="J235" s="62"/>
      <c r="K235" s="62"/>
      <c r="L235" s="62"/>
      <c r="M235" s="62"/>
      <c r="N235" s="62"/>
      <c r="O235" s="62"/>
      <c r="P235" s="62"/>
      <c r="Q235" s="59"/>
      <c r="R235" s="59"/>
      <c r="S235" s="59"/>
      <c r="T235" s="59"/>
      <c r="U235" s="59"/>
      <c r="V235" s="59"/>
      <c r="W235" s="59"/>
      <c r="X235" s="59"/>
      <c r="Y235" s="59"/>
      <c r="Z235" s="59"/>
      <c r="AA235" s="73"/>
      <c r="AB235" s="59"/>
      <c r="AC235" s="59"/>
      <c r="AD235" s="59"/>
      <c r="AE235" s="216"/>
      <c r="AF235" s="216"/>
      <c r="AG235" s="94"/>
      <c r="AH235" s="94"/>
      <c r="AI235" s="94"/>
      <c r="AJ235" s="94"/>
      <c r="AK235" s="94"/>
      <c r="AL235" s="62"/>
      <c r="AM235" s="59"/>
      <c r="AN235" s="59"/>
      <c r="AO235" s="62"/>
      <c r="AP235" s="62"/>
      <c r="AQ235" s="62"/>
      <c r="AR235" s="62"/>
      <c r="AS235" s="62"/>
      <c r="AT235" s="62"/>
      <c r="AU235" s="62"/>
      <c r="AV235" s="62"/>
      <c r="AW235" s="62"/>
      <c r="AX235" s="62"/>
    </row>
    <row r="236" spans="1:50" s="218" customFormat="1" ht="10" x14ac:dyDescent="0.25">
      <c r="A236" s="255"/>
      <c r="B236" s="59"/>
      <c r="C236" s="59"/>
      <c r="D236" s="62"/>
      <c r="E236" s="59"/>
      <c r="F236" s="62"/>
      <c r="G236" s="62"/>
      <c r="H236" s="62"/>
      <c r="I236" s="62"/>
      <c r="J236" s="62"/>
      <c r="K236" s="62"/>
      <c r="L236" s="62"/>
      <c r="M236" s="62"/>
      <c r="N236" s="62"/>
      <c r="O236" s="62"/>
      <c r="P236" s="62"/>
      <c r="Q236" s="59"/>
      <c r="R236" s="59"/>
      <c r="S236" s="59"/>
      <c r="T236" s="59"/>
      <c r="U236" s="59"/>
      <c r="V236" s="59"/>
      <c r="W236" s="59"/>
      <c r="X236" s="59"/>
      <c r="Y236" s="59"/>
      <c r="Z236" s="59"/>
      <c r="AA236" s="73"/>
      <c r="AB236" s="59"/>
      <c r="AC236" s="59"/>
      <c r="AD236" s="59"/>
      <c r="AE236" s="216"/>
      <c r="AF236" s="216"/>
      <c r="AG236" s="94"/>
      <c r="AH236" s="94"/>
      <c r="AI236" s="94"/>
      <c r="AJ236" s="94"/>
      <c r="AK236" s="94"/>
      <c r="AL236" s="62"/>
      <c r="AM236" s="59"/>
      <c r="AN236" s="59"/>
      <c r="AO236" s="62"/>
      <c r="AP236" s="62"/>
      <c r="AQ236" s="62"/>
      <c r="AR236" s="62"/>
      <c r="AS236" s="62"/>
      <c r="AT236" s="62"/>
      <c r="AU236" s="62"/>
      <c r="AV236" s="62"/>
      <c r="AW236" s="62"/>
      <c r="AX236" s="62"/>
    </row>
    <row r="237" spans="1:50" s="218" customFormat="1" ht="10" x14ac:dyDescent="0.25">
      <c r="A237" s="255"/>
      <c r="B237" s="59"/>
      <c r="C237" s="59"/>
      <c r="D237" s="62"/>
      <c r="E237" s="59"/>
      <c r="F237" s="62"/>
      <c r="G237" s="62"/>
      <c r="H237" s="62"/>
      <c r="I237" s="62"/>
      <c r="J237" s="62"/>
      <c r="K237" s="62"/>
      <c r="L237" s="62"/>
      <c r="M237" s="62"/>
      <c r="N237" s="62"/>
      <c r="O237" s="62"/>
      <c r="P237" s="62"/>
      <c r="Q237" s="59"/>
      <c r="R237" s="59"/>
      <c r="S237" s="59"/>
      <c r="T237" s="59"/>
      <c r="U237" s="59"/>
      <c r="V237" s="59"/>
      <c r="W237" s="59"/>
      <c r="X237" s="59"/>
      <c r="Y237" s="59"/>
      <c r="Z237" s="59"/>
      <c r="AA237" s="73"/>
      <c r="AB237" s="59"/>
      <c r="AC237" s="59"/>
      <c r="AD237" s="59"/>
      <c r="AE237" s="216"/>
      <c r="AF237" s="216"/>
      <c r="AG237" s="94"/>
      <c r="AH237" s="94"/>
      <c r="AI237" s="94"/>
      <c r="AJ237" s="94"/>
      <c r="AK237" s="94"/>
      <c r="AL237" s="62"/>
      <c r="AM237" s="59"/>
      <c r="AN237" s="59"/>
      <c r="AO237" s="62"/>
      <c r="AP237" s="62"/>
      <c r="AQ237" s="62"/>
      <c r="AR237" s="62"/>
      <c r="AS237" s="62"/>
      <c r="AT237" s="62"/>
      <c r="AU237" s="62"/>
      <c r="AV237" s="62"/>
      <c r="AW237" s="62"/>
      <c r="AX237" s="62"/>
    </row>
    <row r="238" spans="1:50" s="218" customFormat="1" ht="10" x14ac:dyDescent="0.25">
      <c r="A238" s="255"/>
      <c r="B238" s="59"/>
      <c r="C238" s="59"/>
      <c r="D238" s="62"/>
      <c r="E238" s="59"/>
      <c r="F238" s="62"/>
      <c r="G238" s="62"/>
      <c r="H238" s="62"/>
      <c r="I238" s="62"/>
      <c r="J238" s="62"/>
      <c r="K238" s="62"/>
      <c r="L238" s="62"/>
      <c r="M238" s="62"/>
      <c r="N238" s="62"/>
      <c r="O238" s="62"/>
      <c r="P238" s="62"/>
      <c r="Q238" s="59"/>
      <c r="R238" s="59"/>
      <c r="S238" s="59"/>
      <c r="T238" s="59"/>
      <c r="U238" s="59"/>
      <c r="V238" s="59"/>
      <c r="W238" s="59"/>
      <c r="X238" s="59"/>
      <c r="Y238" s="59"/>
      <c r="Z238" s="59"/>
      <c r="AA238" s="73"/>
      <c r="AB238" s="59"/>
      <c r="AC238" s="59"/>
      <c r="AD238" s="59"/>
      <c r="AE238" s="216"/>
      <c r="AF238" s="216"/>
      <c r="AG238" s="94"/>
      <c r="AH238" s="94"/>
      <c r="AI238" s="94"/>
      <c r="AJ238" s="94"/>
      <c r="AK238" s="94"/>
      <c r="AL238" s="62"/>
      <c r="AM238" s="59"/>
      <c r="AN238" s="59"/>
      <c r="AO238" s="62"/>
      <c r="AP238" s="62"/>
      <c r="AQ238" s="62"/>
      <c r="AR238" s="62"/>
      <c r="AS238" s="62"/>
      <c r="AT238" s="62"/>
      <c r="AU238" s="62"/>
      <c r="AV238" s="62"/>
      <c r="AW238" s="62"/>
      <c r="AX238" s="62"/>
    </row>
    <row r="239" spans="1:50" s="218" customFormat="1" ht="10" x14ac:dyDescent="0.25">
      <c r="A239" s="255"/>
      <c r="B239" s="59"/>
      <c r="C239" s="59"/>
      <c r="D239" s="62"/>
      <c r="E239" s="59"/>
      <c r="F239" s="62"/>
      <c r="G239" s="62"/>
      <c r="H239" s="62"/>
      <c r="I239" s="62"/>
      <c r="J239" s="62"/>
      <c r="K239" s="62"/>
      <c r="L239" s="62"/>
      <c r="M239" s="62"/>
      <c r="N239" s="62"/>
      <c r="O239" s="62"/>
      <c r="P239" s="62"/>
      <c r="Q239" s="59"/>
      <c r="R239" s="59"/>
      <c r="S239" s="59"/>
      <c r="T239" s="59"/>
      <c r="U239" s="59"/>
      <c r="V239" s="59"/>
      <c r="W239" s="59"/>
      <c r="X239" s="59"/>
      <c r="Y239" s="59"/>
      <c r="Z239" s="59"/>
      <c r="AA239" s="73"/>
      <c r="AB239" s="59"/>
      <c r="AC239" s="59"/>
      <c r="AD239" s="59"/>
      <c r="AE239" s="216"/>
      <c r="AF239" s="216"/>
      <c r="AG239" s="94"/>
      <c r="AH239" s="94"/>
      <c r="AI239" s="94"/>
      <c r="AJ239" s="94"/>
      <c r="AK239" s="94"/>
      <c r="AL239" s="62"/>
      <c r="AM239" s="59"/>
      <c r="AN239" s="59"/>
      <c r="AO239" s="62"/>
      <c r="AP239" s="62"/>
      <c r="AQ239" s="62"/>
      <c r="AR239" s="62"/>
      <c r="AS239" s="62"/>
      <c r="AT239" s="62"/>
      <c r="AU239" s="62"/>
      <c r="AV239" s="62"/>
      <c r="AW239" s="62"/>
      <c r="AX239" s="62"/>
    </row>
    <row r="240" spans="1:50" s="218" customFormat="1" ht="10" x14ac:dyDescent="0.25">
      <c r="A240" s="255"/>
      <c r="B240" s="59"/>
      <c r="C240" s="59"/>
      <c r="D240" s="62"/>
      <c r="E240" s="59"/>
      <c r="F240" s="62"/>
      <c r="G240" s="62"/>
      <c r="H240" s="62"/>
      <c r="I240" s="62"/>
      <c r="J240" s="62"/>
      <c r="K240" s="62"/>
      <c r="L240" s="62"/>
      <c r="M240" s="62"/>
      <c r="N240" s="62"/>
      <c r="O240" s="62"/>
      <c r="P240" s="62"/>
      <c r="Q240" s="59"/>
      <c r="R240" s="59"/>
      <c r="S240" s="59"/>
      <c r="T240" s="59"/>
      <c r="U240" s="59"/>
      <c r="V240" s="59"/>
      <c r="W240" s="59"/>
      <c r="X240" s="59"/>
      <c r="Y240" s="59"/>
      <c r="Z240" s="59"/>
      <c r="AA240" s="73"/>
      <c r="AB240" s="59"/>
      <c r="AC240" s="59"/>
      <c r="AD240" s="59"/>
      <c r="AE240" s="216"/>
      <c r="AF240" s="216"/>
      <c r="AG240" s="94"/>
      <c r="AH240" s="94"/>
      <c r="AI240" s="94"/>
      <c r="AJ240" s="94"/>
      <c r="AK240" s="94"/>
      <c r="AL240" s="62"/>
      <c r="AM240" s="59"/>
      <c r="AN240" s="59"/>
      <c r="AO240" s="62"/>
      <c r="AP240" s="62"/>
      <c r="AQ240" s="62"/>
      <c r="AR240" s="62"/>
      <c r="AS240" s="62"/>
      <c r="AT240" s="62"/>
      <c r="AU240" s="62"/>
      <c r="AV240" s="62"/>
      <c r="AW240" s="62"/>
      <c r="AX240" s="62"/>
    </row>
    <row r="241" spans="1:50" s="218" customFormat="1" ht="10" x14ac:dyDescent="0.25">
      <c r="A241" s="255"/>
      <c r="B241" s="59"/>
      <c r="C241" s="59"/>
      <c r="D241" s="62"/>
      <c r="E241" s="59"/>
      <c r="F241" s="62"/>
      <c r="G241" s="62"/>
      <c r="H241" s="62"/>
      <c r="I241" s="62"/>
      <c r="J241" s="62"/>
      <c r="K241" s="62"/>
      <c r="L241" s="62"/>
      <c r="M241" s="62"/>
      <c r="N241" s="62"/>
      <c r="O241" s="62"/>
      <c r="P241" s="62"/>
      <c r="Q241" s="59"/>
      <c r="R241" s="59"/>
      <c r="S241" s="59"/>
      <c r="T241" s="59"/>
      <c r="U241" s="59"/>
      <c r="V241" s="59"/>
      <c r="W241" s="59"/>
      <c r="X241" s="59"/>
      <c r="Y241" s="59"/>
      <c r="Z241" s="59"/>
      <c r="AA241" s="73"/>
      <c r="AB241" s="59"/>
      <c r="AC241" s="59"/>
      <c r="AD241" s="59"/>
      <c r="AE241" s="216"/>
      <c r="AF241" s="216"/>
      <c r="AG241" s="94"/>
      <c r="AH241" s="94"/>
      <c r="AI241" s="94"/>
      <c r="AJ241" s="94"/>
      <c r="AK241" s="94"/>
      <c r="AL241" s="62"/>
      <c r="AM241" s="59"/>
      <c r="AN241" s="59"/>
      <c r="AO241" s="62"/>
      <c r="AP241" s="62"/>
      <c r="AQ241" s="62"/>
      <c r="AR241" s="62"/>
      <c r="AS241" s="62"/>
      <c r="AT241" s="62"/>
      <c r="AU241" s="62"/>
      <c r="AV241" s="62"/>
      <c r="AW241" s="62"/>
      <c r="AX241" s="62"/>
    </row>
    <row r="242" spans="1:50" x14ac:dyDescent="0.25">
      <c r="A242" s="256"/>
    </row>
    <row r="243" spans="1:50" x14ac:dyDescent="0.25">
      <c r="A243" s="256"/>
    </row>
    <row r="244" spans="1:50" x14ac:dyDescent="0.25">
      <c r="A244" s="256"/>
    </row>
    <row r="245" spans="1:50" x14ac:dyDescent="0.25">
      <c r="A245" s="256"/>
    </row>
    <row r="246" spans="1:50" x14ac:dyDescent="0.25">
      <c r="A246" s="256"/>
    </row>
    <row r="247" spans="1:50" x14ac:dyDescent="0.25">
      <c r="A247" s="256"/>
    </row>
    <row r="248" spans="1:50" x14ac:dyDescent="0.25">
      <c r="A248" s="256"/>
    </row>
    <row r="249" spans="1:50" x14ac:dyDescent="0.25">
      <c r="A249" s="258"/>
    </row>
    <row r="250" spans="1:50" x14ac:dyDescent="0.25">
      <c r="A250" s="258"/>
    </row>
    <row r="251" spans="1:50" x14ac:dyDescent="0.25">
      <c r="A251" s="258"/>
    </row>
    <row r="252" spans="1:50" x14ac:dyDescent="0.25">
      <c r="A252" s="258"/>
    </row>
    <row r="253" spans="1:50" x14ac:dyDescent="0.25">
      <c r="A253" s="256"/>
    </row>
    <row r="254" spans="1:50" x14ac:dyDescent="0.25">
      <c r="A254" s="258"/>
    </row>
    <row r="255" spans="1:50" x14ac:dyDescent="0.25">
      <c r="A255" s="258"/>
    </row>
    <row r="256" spans="1:50" x14ac:dyDescent="0.25">
      <c r="A256" s="256"/>
    </row>
    <row r="257" spans="1:1" x14ac:dyDescent="0.25">
      <c r="A257" s="256"/>
    </row>
    <row r="258" spans="1:1" x14ac:dyDescent="0.25">
      <c r="A258" s="256"/>
    </row>
    <row r="259" spans="1:1" x14ac:dyDescent="0.25">
      <c r="A259" s="256"/>
    </row>
    <row r="260" spans="1:1" x14ac:dyDescent="0.25">
      <c r="A260" s="256"/>
    </row>
    <row r="261" spans="1:1" x14ac:dyDescent="0.25">
      <c r="A261" s="256"/>
    </row>
    <row r="262" spans="1:1" x14ac:dyDescent="0.25">
      <c r="A262" s="256"/>
    </row>
    <row r="263" spans="1:1" x14ac:dyDescent="0.25">
      <c r="A263" s="256"/>
    </row>
    <row r="264" spans="1:1" x14ac:dyDescent="0.25">
      <c r="A264" s="256"/>
    </row>
    <row r="265" spans="1:1" x14ac:dyDescent="0.25">
      <c r="A265" s="256"/>
    </row>
    <row r="266" spans="1:1" x14ac:dyDescent="0.25">
      <c r="A266" s="256"/>
    </row>
    <row r="267" spans="1:1" x14ac:dyDescent="0.25">
      <c r="A267" s="256"/>
    </row>
    <row r="268" spans="1:1" x14ac:dyDescent="0.25">
      <c r="A268" s="256"/>
    </row>
    <row r="269" spans="1:1" x14ac:dyDescent="0.25">
      <c r="A269" s="256"/>
    </row>
    <row r="270" spans="1:1" x14ac:dyDescent="0.25">
      <c r="A270" s="256"/>
    </row>
    <row r="271" spans="1:1" x14ac:dyDescent="0.25">
      <c r="A271" s="256"/>
    </row>
    <row r="272" spans="1:1" x14ac:dyDescent="0.25">
      <c r="A272" s="256"/>
    </row>
    <row r="273" spans="1:1" x14ac:dyDescent="0.25">
      <c r="A273" s="256"/>
    </row>
    <row r="274" spans="1:1" x14ac:dyDescent="0.25">
      <c r="A274" s="256"/>
    </row>
    <row r="275" spans="1:1" x14ac:dyDescent="0.25">
      <c r="A275" s="256"/>
    </row>
    <row r="276" spans="1:1" x14ac:dyDescent="0.25">
      <c r="A276" s="256"/>
    </row>
    <row r="277" spans="1:1" x14ac:dyDescent="0.25">
      <c r="A277" s="256"/>
    </row>
    <row r="278" spans="1:1" x14ac:dyDescent="0.25">
      <c r="A278" s="256"/>
    </row>
    <row r="279" spans="1:1" x14ac:dyDescent="0.25">
      <c r="A279" s="256"/>
    </row>
    <row r="280" spans="1:1" ht="13" thickBot="1" x14ac:dyDescent="0.3">
      <c r="A280" s="259"/>
    </row>
  </sheetData>
  <sheetProtection sheet="1" objects="1" scenarios="1"/>
  <mergeCells count="12">
    <mergeCell ref="D3:J3"/>
    <mergeCell ref="P3:T3"/>
    <mergeCell ref="D4:F4"/>
    <mergeCell ref="H4:J4"/>
    <mergeCell ref="AC1:AE1"/>
    <mergeCell ref="A1:B1"/>
    <mergeCell ref="A2:B2"/>
    <mergeCell ref="AG1:AK1"/>
    <mergeCell ref="AM1:AR1"/>
    <mergeCell ref="P2:T2"/>
    <mergeCell ref="W2:AA2"/>
    <mergeCell ref="D1:AA1"/>
  </mergeCells>
  <phoneticPr fontId="0" type="noConversion"/>
  <pageMargins left="0.5" right="0.5" top="1" bottom="1" header="0.5" footer="0.5"/>
  <pageSetup scale="80"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colBreaks count="1" manualBreakCount="1">
    <brk id="27"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51"/>
  <sheetViews>
    <sheetView showGridLines="0" showZeros="0" zoomScaleNormal="100" workbookViewId="0">
      <pane xSplit="3" ySplit="6" topLeftCell="G7" activePane="bottomRight" state="frozen"/>
      <selection pane="topRight" activeCell="D1" sqref="D1"/>
      <selection pane="bottomLeft" activeCell="A7" sqref="A7"/>
      <selection pane="bottomRight" activeCell="A7" sqref="A7"/>
    </sheetView>
  </sheetViews>
  <sheetFormatPr defaultColWidth="9" defaultRowHeight="12.5" x14ac:dyDescent="0.25"/>
  <cols>
    <col min="1" max="1" width="24.6640625" style="55" customWidth="1"/>
    <col min="2" max="2" width="8" style="55" bestFit="1" customWidth="1"/>
    <col min="3" max="3" width="9" style="67" customWidth="1"/>
    <col min="4" max="7" width="8" style="55" bestFit="1" customWidth="1"/>
    <col min="8" max="8" width="8.08203125" style="55" hidden="1" customWidth="1"/>
    <col min="9" max="11" width="8" style="55" bestFit="1" customWidth="1"/>
    <col min="12" max="12" width="13.58203125" style="55" bestFit="1" customWidth="1"/>
    <col min="13" max="13" width="10.25" style="67" customWidth="1"/>
    <col min="14" max="14" width="7.58203125" style="67" customWidth="1"/>
    <col min="15" max="15" width="9.9140625" style="67" hidden="1" customWidth="1"/>
    <col min="16" max="16" width="10.9140625" style="67" customWidth="1"/>
    <col min="17" max="17" width="12.9140625" style="359" bestFit="1" customWidth="1"/>
    <col min="18" max="18" width="8" style="55" bestFit="1" customWidth="1"/>
    <col min="19" max="19" width="8.6640625" style="55" bestFit="1" customWidth="1"/>
    <col min="20" max="16384" width="9" style="55"/>
  </cols>
  <sheetData>
    <row r="1" spans="1:19" ht="19.25" customHeight="1" thickTop="1" x14ac:dyDescent="0.25">
      <c r="A1" s="103" t="s">
        <v>260</v>
      </c>
      <c r="B1" s="61"/>
      <c r="C1" s="63"/>
      <c r="D1" s="898" t="s">
        <v>987</v>
      </c>
      <c r="E1" s="898"/>
      <c r="F1" s="898"/>
      <c r="G1" s="898"/>
      <c r="H1" s="898"/>
      <c r="I1" s="898"/>
      <c r="J1" s="898"/>
      <c r="K1" s="898"/>
      <c r="L1" s="898"/>
      <c r="M1" s="762"/>
      <c r="N1" s="763"/>
      <c r="O1" s="535"/>
      <c r="P1" s="580"/>
      <c r="Q1" s="64"/>
      <c r="R1" s="88"/>
      <c r="S1" s="54"/>
    </row>
    <row r="2" spans="1:19" s="94" customFormat="1" ht="27.65" customHeight="1" x14ac:dyDescent="0.25">
      <c r="A2" s="56" t="s">
        <v>262</v>
      </c>
      <c r="B2" s="92"/>
      <c r="C2" s="74"/>
      <c r="D2" s="892" t="s">
        <v>34</v>
      </c>
      <c r="E2" s="893"/>
      <c r="F2" s="893"/>
      <c r="G2" s="893"/>
      <c r="H2" s="93"/>
      <c r="I2" s="894" t="s">
        <v>264</v>
      </c>
      <c r="J2" s="895"/>
      <c r="K2" s="895"/>
      <c r="L2" s="895"/>
      <c r="M2" s="889" t="s">
        <v>989</v>
      </c>
      <c r="N2" s="890"/>
      <c r="O2" s="73"/>
      <c r="P2" s="891" t="s">
        <v>990</v>
      </c>
      <c r="Q2" s="901" t="s">
        <v>991</v>
      </c>
      <c r="R2" s="902" t="s">
        <v>335</v>
      </c>
      <c r="S2" s="903"/>
    </row>
    <row r="3" spans="1:19" s="94" customFormat="1" ht="14" x14ac:dyDescent="0.25">
      <c r="A3" s="56" t="s">
        <v>263</v>
      </c>
      <c r="B3" s="92"/>
      <c r="C3" s="74"/>
      <c r="D3" s="896" t="str">
        <f>CONCATENATE("HI = ", '[1]Target Risk'!D8)</f>
        <v>HI = 0.2</v>
      </c>
      <c r="E3" s="897"/>
      <c r="F3" s="897"/>
      <c r="G3" s="897"/>
      <c r="H3" s="95"/>
      <c r="I3" s="899" t="str">
        <f>CONCATENATE("ELCR = ", '[1]Target Risk'!D12)</f>
        <v>ELCR = 0.000001</v>
      </c>
      <c r="J3" s="900"/>
      <c r="K3" s="900"/>
      <c r="L3" s="900"/>
      <c r="M3" s="889"/>
      <c r="N3" s="890"/>
      <c r="O3" s="73" t="s">
        <v>942</v>
      </c>
      <c r="P3" s="891"/>
      <c r="Q3" s="901"/>
      <c r="R3" s="902" t="s">
        <v>336</v>
      </c>
      <c r="S3" s="903"/>
    </row>
    <row r="4" spans="1:19" s="94" customFormat="1" ht="12" customHeight="1" x14ac:dyDescent="0.25">
      <c r="A4" s="91"/>
      <c r="B4" s="98"/>
      <c r="C4" s="99"/>
      <c r="D4" s="100"/>
      <c r="E4" s="101"/>
      <c r="F4" s="101"/>
      <c r="G4" s="101"/>
      <c r="H4" s="102" t="s">
        <v>264</v>
      </c>
      <c r="I4" s="887" t="s">
        <v>1041</v>
      </c>
      <c r="J4" s="888"/>
      <c r="K4" s="888"/>
      <c r="L4" s="888"/>
      <c r="M4" s="889"/>
      <c r="N4" s="890"/>
      <c r="O4" s="73" t="s">
        <v>943</v>
      </c>
      <c r="P4" s="891"/>
      <c r="Q4" s="901"/>
      <c r="R4" s="904" t="s">
        <v>280</v>
      </c>
      <c r="S4" s="905"/>
    </row>
    <row r="5" spans="1:19" s="73" customFormat="1" ht="21" x14ac:dyDescent="0.25">
      <c r="A5" s="775" t="s">
        <v>1057</v>
      </c>
      <c r="B5" s="885" t="s">
        <v>986</v>
      </c>
      <c r="C5" s="886"/>
      <c r="D5" s="68" t="s">
        <v>37</v>
      </c>
      <c r="E5" s="68" t="s">
        <v>38</v>
      </c>
      <c r="F5" s="68" t="s">
        <v>318</v>
      </c>
      <c r="G5" s="81" t="s">
        <v>985</v>
      </c>
      <c r="H5" s="69" t="s">
        <v>37</v>
      </c>
      <c r="I5" s="70" t="s">
        <v>37</v>
      </c>
      <c r="J5" s="71" t="s">
        <v>38</v>
      </c>
      <c r="K5" s="71" t="s">
        <v>318</v>
      </c>
      <c r="L5" s="83" t="s">
        <v>988</v>
      </c>
      <c r="M5" s="85"/>
      <c r="N5" s="433"/>
      <c r="P5" s="421"/>
      <c r="Q5" s="465"/>
      <c r="R5" s="89"/>
      <c r="S5" s="466"/>
    </row>
    <row r="6" spans="1:19" s="73" customFormat="1" ht="11" thickBot="1" x14ac:dyDescent="0.3">
      <c r="A6" s="761"/>
      <c r="B6" s="467" t="s">
        <v>157</v>
      </c>
      <c r="C6" s="74" t="s">
        <v>266</v>
      </c>
      <c r="D6" s="75" t="s">
        <v>157</v>
      </c>
      <c r="E6" s="76" t="s">
        <v>157</v>
      </c>
      <c r="F6" s="75" t="s">
        <v>157</v>
      </c>
      <c r="G6" s="82" t="s">
        <v>157</v>
      </c>
      <c r="H6" s="77" t="s">
        <v>157</v>
      </c>
      <c r="I6" s="78" t="s">
        <v>157</v>
      </c>
      <c r="J6" s="79" t="s">
        <v>157</v>
      </c>
      <c r="K6" s="79" t="s">
        <v>157</v>
      </c>
      <c r="L6" s="84" t="s">
        <v>157</v>
      </c>
      <c r="M6" s="86" t="s">
        <v>157</v>
      </c>
      <c r="N6" s="87" t="s">
        <v>360</v>
      </c>
      <c r="O6" s="73" t="s">
        <v>157</v>
      </c>
      <c r="P6" s="421" t="s">
        <v>157</v>
      </c>
      <c r="Q6" s="80" t="s">
        <v>157</v>
      </c>
      <c r="R6" s="90" t="s">
        <v>157</v>
      </c>
      <c r="S6" s="466" t="s">
        <v>360</v>
      </c>
    </row>
    <row r="7" spans="1:19" s="94" customFormat="1" ht="10" x14ac:dyDescent="0.25">
      <c r="A7" s="617" t="s">
        <v>158</v>
      </c>
      <c r="B7" s="797"/>
      <c r="C7" s="798"/>
      <c r="D7" s="799">
        <f>IF((VLOOKUP(A7,[1]!TOX,4,FALSE))=0,0,('[1]Target Risk'!$D$8*(VLOOKUP(A7,[1]!TOX,4,FALSE))/('GW-1 Exp'!$J$18*(VLOOKUP(A7,[1]!TOX,31,FALSE)))))</f>
        <v>194.63324175824178</v>
      </c>
      <c r="E7" s="799">
        <f t="shared" ref="E7:E38" si="0">(VLOOKUP(A7,DWDERM,18,FALSE))</f>
        <v>173.52709677362193</v>
      </c>
      <c r="F7" s="799">
        <f t="shared" ref="F7:F38" si="1">(VLOOKUP(A7,DWInhale,13,FALSE))</f>
        <v>49.691281964015609</v>
      </c>
      <c r="G7" s="800">
        <f>IF(AND(D7=0,E7=0),F7,IF(AND(E7=0,F7=0),D7,IF(AND(D7=0,F7=0),E7,IF(E7=0,1/((1/D7)+(1/F7)),IF(D7=0,1/((1/E7)+(1/F7)),IF(F7=0,1/((1/D7)+(1/E7)),1/((1/D7)+(1/E7)+(1/F7))))))))</f>
        <v>32.232162708727735</v>
      </c>
      <c r="H7" s="801">
        <f>IF(ISERR(1/(VLOOKUP(A7,[1]!TOX,12,FALSE))),0,'[1]Target Risk'!$D$12/('GW-1 Exp'!$J$26*(VLOOKUP(A7,[1]!TOX,33,FALSE))*(VLOOKUP(A7,[1]!TOX,12,FALSE))))</f>
        <v>0</v>
      </c>
      <c r="I7" s="802">
        <f>IF(ISERR(1/(VLOOKUP(A7,[1]!TOX,12,FALSE))),0,IF(VLOOKUP(A7,[1]!TOX,36,FALSE)="M",'[1]Target Risk'!$D$12/(((('GW-1 Exp'!$J$33*(VLOOKUP(A7,[1]!TOX,33,FALSE))*(VLOOKUP(A7,[1]!TOX,12,FALSE))))*10)+((('GW-1 Exp'!$J$34*(VLOOKUP(A7,[1]!TOX,33,FALSE))*(VLOOKUP(A7,[1]!TOX,12,FALSE))))*3)+((('GW-1 Exp'!$J$35*(VLOOKUP(A7,[1]!TOX,33,FALSE))*(VLOOKUP(A7,[1]!TOX,12,FALSE))))*3)+((('GW-1 Exp'!$J$36*(VLOOKUP(A7,[1]!TOX,33,FALSE))*(VLOOKUP(A7,[1]!TOX,12,FALSE))))*1)),'[1]Target Risk'!$D$12/('GW-1 Exp'!$J$26*(VLOOKUP(A7,[1]!TOX,33,FALSE))*(VLOOKUP(A7,[1]!TOX,12,FALSE)))))</f>
        <v>0</v>
      </c>
      <c r="J7" s="799">
        <f t="shared" ref="J7:J38" si="2">(VLOOKUP(A7,DWDERM,20,FALSE))</f>
        <v>0</v>
      </c>
      <c r="K7" s="799">
        <f t="shared" ref="K7:K38" si="3">(VLOOKUP(A7,DWInhale,14,FALSE))</f>
        <v>0</v>
      </c>
      <c r="L7" s="802">
        <f t="shared" ref="L7:L38" si="4">IF(AND(I7=0,J7=0),K7,IF(AND(J7=0,K7=0),I7,IF(AND(I7=0,K7=0),J7,IF(J7=0,1/((1/I7)+(1/K7)),IF(I7=0,1/((1/J7)+(1/K7)),IF(K7=0,1/((1/I7)+(1/J7)),1/((1/I7)+(1/J7)+(1/K7))))))))</f>
        <v>0</v>
      </c>
      <c r="M7" s="803">
        <f>IF(B7&lt;&gt;0,B7,IF((VLOOKUP(A7,[1]!TOX,44,FALSE))=0,O7,MIN(O7,(VLOOKUP(A7,[1]!TOX,44,FALSE)))))</f>
        <v>20</v>
      </c>
      <c r="N7" s="804" t="str">
        <f t="shared" ref="N7:N42" si="5">IF(M7=0,"Not Calculated",IF(M7=B7,C7,IF(M7=G7,"Noncancer",IF(M7=L7,"Cancer","Odor"))))</f>
        <v>Odor</v>
      </c>
      <c r="O7" s="805">
        <f t="shared" ref="O7:O38" si="6">IF(MIN(G7,L7)&lt;&gt;0,MIN(G7,L7),MAX(G7,L7))</f>
        <v>32.232162708727735</v>
      </c>
      <c r="P7" s="806">
        <f>IF($B7&lt;&gt;0,$B7,MIN(M7,(VLOOKUP(A7,[1]!TOX,79,FALSE))))</f>
        <v>20</v>
      </c>
      <c r="Q7" s="807">
        <f>IF($B7&lt;&gt;0,$B7,MAX($P7,(VLOOKUP(A7,[1]!TOX,40,FALSE)),(VLOOKUP(A7,[1]!TOX,51,FALSE))))</f>
        <v>20</v>
      </c>
      <c r="R7" s="808">
        <f t="shared" ref="R7:R36" si="7">IF(ISNUMBER(B7),Q7,ROUND(Q7,-INT(LOG10(ABS(Q7)))))</f>
        <v>20</v>
      </c>
      <c r="S7" s="809" t="str">
        <f>IF(Q7=M7,N7,IF(Q7=(VLOOKUP(A7,[1]!TOX,40,FALSE)),"Bckgrnd",IF(Q7=(VLOOKUP(A7,[1]!TOX,79,FALSE)),"Ceiling","PQL")))</f>
        <v>Odor</v>
      </c>
    </row>
    <row r="8" spans="1:19" s="94" customFormat="1" ht="10" x14ac:dyDescent="0.25">
      <c r="A8" s="619" t="s">
        <v>159</v>
      </c>
      <c r="B8" s="810"/>
      <c r="C8" s="811"/>
      <c r="D8" s="812">
        <f>IF((VLOOKUP(A8,[1]!TOX,4,FALSE))=0,0,('[1]Target Risk'!$D$8*(VLOOKUP(A8,[1]!TOX,4,FALSE))/('GW-1 Exp'!$J$18*(VLOOKUP(A8,[1]!TOX,31,FALSE)))))</f>
        <v>97.31662087912089</v>
      </c>
      <c r="E8" s="812">
        <f t="shared" si="0"/>
        <v>447.6564560439561</v>
      </c>
      <c r="F8" s="812">
        <f t="shared" si="1"/>
        <v>65.562395122159529</v>
      </c>
      <c r="G8" s="813">
        <f t="shared" ref="G8:G67" si="8">IF(AND(D8=0,E8=0),F8,IF(AND(E8=0,F8=0),D8,IF(AND(D8=0,F8=0),E8,IF(E8=0,1/((1/D8)+(1/F8)),IF(D8=0,1/((1/E8)+(1/F8)),IF(F8=0,1/((1/D8)+(1/E8)),1/((1/D8)+(1/E8)+(1/F8))))))))</f>
        <v>36.020149800780572</v>
      </c>
      <c r="H8" s="814">
        <f>IF(ISERR(1/(VLOOKUP(A8,[1]!TOX,12,FALSE))),0,'[1]Target Risk'!$D$12/('GW-1 Exp'!$J$26*(VLOOKUP(A8,[1]!TOX,33,FALSE))*(VLOOKUP(A8,[1]!TOX,12,FALSE))))</f>
        <v>0</v>
      </c>
      <c r="I8" s="815">
        <f>IF(ISERR(1/(VLOOKUP(A8,[1]!TOX,12,FALSE))),0,IF(VLOOKUP(A8,[1]!TOX,36,FALSE)="M",'[1]Target Risk'!$D$12/(((('GW-1 Exp'!$J$33*(VLOOKUP(A8,[1]!TOX,33,FALSE))*(VLOOKUP(A8,[1]!TOX,12,FALSE))))*10)+((('GW-1 Exp'!$J$34*(VLOOKUP(A8,[1]!TOX,33,FALSE))*(VLOOKUP(A8,[1]!TOX,12,FALSE))))*3)+((('GW-1 Exp'!$J$35*(VLOOKUP(A8,[1]!TOX,33,FALSE))*(VLOOKUP(A8,[1]!TOX,12,FALSE))))*3)+((('GW-1 Exp'!$J$36*(VLOOKUP(A8,[1]!TOX,33,FALSE))*(VLOOKUP(A8,[1]!TOX,12,FALSE))))*1)),'[1]Target Risk'!$D$12/('GW-1 Exp'!$J$26*(VLOOKUP(A8,[1]!TOX,33,FALSE))*(VLOOKUP(A8,[1]!TOX,12,FALSE)))))</f>
        <v>0</v>
      </c>
      <c r="J8" s="812">
        <f t="shared" si="2"/>
        <v>0</v>
      </c>
      <c r="K8" s="812">
        <f t="shared" si="3"/>
        <v>0</v>
      </c>
      <c r="L8" s="815">
        <f t="shared" si="4"/>
        <v>0</v>
      </c>
      <c r="M8" s="816">
        <f>IF(B8&lt;&gt;0,B8,IF((VLOOKUP(A8,[1]!TOX,44,FALSE))=0,O8,MIN(O8,(VLOOKUP(A8,[1]!TOX,44,FALSE)))))</f>
        <v>36.020149800780572</v>
      </c>
      <c r="N8" s="817" t="str">
        <f t="shared" si="5"/>
        <v>Noncancer</v>
      </c>
      <c r="O8" s="818">
        <f t="shared" si="6"/>
        <v>36.020149800780572</v>
      </c>
      <c r="P8" s="582">
        <f>IF($B8&lt;&gt;0,$B8,MIN(M8,(VLOOKUP(A8,[1]!TOX,79,FALSE))))</f>
        <v>36.020149800780572</v>
      </c>
      <c r="Q8" s="819">
        <f>IF($B8&lt;&gt;0,$B8,MAX($P8,(VLOOKUP(A8,[1]!TOX,40,FALSE)),(VLOOKUP(A8,[1]!TOX,51,FALSE))))</f>
        <v>36.020149800780572</v>
      </c>
      <c r="R8" s="820">
        <f t="shared" si="7"/>
        <v>40</v>
      </c>
      <c r="S8" s="821" t="str">
        <f>IF(Q8=M8,N8,IF(Q8=(VLOOKUP(A8,[1]!TOX,40,FALSE)),"Bckgrnd",IF(Q8=(VLOOKUP(A8,[1]!TOX,79,FALSE)),"Ceiling","PQL")))</f>
        <v>Noncancer</v>
      </c>
    </row>
    <row r="9" spans="1:19" s="94" customFormat="1" ht="10" x14ac:dyDescent="0.25">
      <c r="A9" s="619" t="s">
        <v>160</v>
      </c>
      <c r="B9" s="822">
        <v>6300</v>
      </c>
      <c r="C9" s="823" t="s">
        <v>342</v>
      </c>
      <c r="D9" s="812">
        <f>IF((VLOOKUP(A9,[1]!TOX,4,FALSE))=0,0,('[1]Target Risk'!$D$8*(VLOOKUP(A9,[1]!TOX,4,FALSE))/('GW-1 Exp'!$J$18*(VLOOKUP(A9,[1]!TOX,31,FALSE)))))</f>
        <v>2919.4986263736268</v>
      </c>
      <c r="E9" s="812">
        <f t="shared" si="0"/>
        <v>820445.18602471636</v>
      </c>
      <c r="F9" s="812">
        <f t="shared" si="1"/>
        <v>1440.8892035162082</v>
      </c>
      <c r="G9" s="813">
        <f t="shared" si="8"/>
        <v>963.61458358511982</v>
      </c>
      <c r="H9" s="814">
        <f>IF(ISERR(1/(VLOOKUP(A9,[1]!TOX,12,FALSE))),0,'[1]Target Risk'!$D$12/('GW-1 Exp'!$J$26*(VLOOKUP(A9,[1]!TOX,33,FALSE))*(VLOOKUP(A9,[1]!TOX,12,FALSE))))</f>
        <v>0</v>
      </c>
      <c r="I9" s="815">
        <f>IF(ISERR(1/(VLOOKUP(A9,[1]!TOX,12,FALSE))),0,IF(VLOOKUP(A9,[1]!TOX,36,FALSE)="M",'[1]Target Risk'!$D$12/(((('GW-1 Exp'!$J$33*(VLOOKUP(A9,[1]!TOX,33,FALSE))*(VLOOKUP(A9,[1]!TOX,12,FALSE))))*10)+((('GW-1 Exp'!$J$34*(VLOOKUP(A9,[1]!TOX,33,FALSE))*(VLOOKUP(A9,[1]!TOX,12,FALSE))))*3)+((('GW-1 Exp'!$J$35*(VLOOKUP(A9,[1]!TOX,33,FALSE))*(VLOOKUP(A9,[1]!TOX,12,FALSE))))*3)+((('GW-1 Exp'!$J$36*(VLOOKUP(A9,[1]!TOX,33,FALSE))*(VLOOKUP(A9,[1]!TOX,12,FALSE))))*1)),'[1]Target Risk'!$D$12/('GW-1 Exp'!$J$26*(VLOOKUP(A9,[1]!TOX,33,FALSE))*(VLOOKUP(A9,[1]!TOX,12,FALSE)))))</f>
        <v>0</v>
      </c>
      <c r="J9" s="812">
        <f t="shared" si="2"/>
        <v>0</v>
      </c>
      <c r="K9" s="812">
        <f t="shared" si="3"/>
        <v>0</v>
      </c>
      <c r="L9" s="815">
        <f t="shared" si="4"/>
        <v>0</v>
      </c>
      <c r="M9" s="816">
        <f>IF(B9&lt;&gt;0,B9,IF((VLOOKUP(A9,[1]!TOX,44,FALSE))=0,O9,MIN(O9,(VLOOKUP(A9,[1]!TOX,44,FALSE)))))</f>
        <v>6300</v>
      </c>
      <c r="N9" s="817" t="str">
        <f t="shared" si="5"/>
        <v>ORSGL</v>
      </c>
      <c r="O9" s="818">
        <f t="shared" si="6"/>
        <v>963.61458358511982</v>
      </c>
      <c r="P9" s="582">
        <f>IF($B9&lt;&gt;0,$B9,MIN(M9,(VLOOKUP(A9,[1]!TOX,79,FALSE))))</f>
        <v>6300</v>
      </c>
      <c r="Q9" s="819">
        <f>IF($B9&lt;&gt;0,$B9,MAX($P9,(VLOOKUP(A9,[1]!TOX,40,FALSE)),(VLOOKUP(A9,[1]!TOX,51,FALSE))))</f>
        <v>6300</v>
      </c>
      <c r="R9" s="820">
        <f t="shared" si="7"/>
        <v>6300</v>
      </c>
      <c r="S9" s="821" t="str">
        <f>IF(Q9=M9,N9,IF(Q9=(VLOOKUP(A9,[1]!TOX,40,FALSE)),"Bckgrnd",IF(Q9=(VLOOKUP(A9,[1]!TOX,79,FALSE)),"Ceiling","PQL")))</f>
        <v>ORSGL</v>
      </c>
    </row>
    <row r="10" spans="1:19" s="94" customFormat="1" ht="10" x14ac:dyDescent="0.25">
      <c r="A10" s="619" t="s">
        <v>161</v>
      </c>
      <c r="B10" s="822"/>
      <c r="C10" s="823"/>
      <c r="D10" s="812">
        <f>IF((VLOOKUP(A10,[1]!TOX,4,FALSE))=0,0,('[1]Target Risk'!$D$8*(VLOOKUP(A10,[1]!TOX,4,FALSE))/('GW-1 Exp'!$J$18*(VLOOKUP(A10,[1]!TOX,31,FALSE)))))</f>
        <v>9.7316620879120894E-2</v>
      </c>
      <c r="E10" s="812">
        <f t="shared" si="0"/>
        <v>5.829609507173949E-3</v>
      </c>
      <c r="F10" s="812">
        <f t="shared" si="1"/>
        <v>0.44167441326030732</v>
      </c>
      <c r="G10" s="813">
        <f t="shared" si="8"/>
        <v>5.4324819396875165E-3</v>
      </c>
      <c r="H10" s="814">
        <f>IF(ISERR(1/(VLOOKUP(A10,[1]!TOX,12,FALSE))),0,'[1]Target Risk'!$D$12/('GW-1 Exp'!$J$26*(VLOOKUP(A10,[1]!TOX,33,FALSE))*(VLOOKUP(A10,[1]!TOX,12,FALSE))))</f>
        <v>3.2507188497347813E-3</v>
      </c>
      <c r="I10" s="815">
        <f>IF(ISERR(1/(VLOOKUP(A10,[1]!TOX,12,FALSE))),0,IF(VLOOKUP(A10,[1]!TOX,36,FALSE)="M",'[1]Target Risk'!$D$12/(((('GW-1 Exp'!$J$33*(VLOOKUP(A10,[1]!TOX,33,FALSE))*(VLOOKUP(A10,[1]!TOX,12,FALSE))))*10)+((('GW-1 Exp'!$J$34*(VLOOKUP(A10,[1]!TOX,33,FALSE))*(VLOOKUP(A10,[1]!TOX,12,FALSE))))*3)+((('GW-1 Exp'!$J$35*(VLOOKUP(A10,[1]!TOX,33,FALSE))*(VLOOKUP(A10,[1]!TOX,12,FALSE))))*3)+((('GW-1 Exp'!$J$36*(VLOOKUP(A10,[1]!TOX,33,FALSE))*(VLOOKUP(A10,[1]!TOX,12,FALSE))))*1)),'[1]Target Risk'!$D$12/('GW-1 Exp'!$J$26*(VLOOKUP(A10,[1]!TOX,33,FALSE))*(VLOOKUP(A10,[1]!TOX,12,FALSE)))))</f>
        <v>3.2507188497347813E-3</v>
      </c>
      <c r="J10" s="812">
        <f t="shared" si="2"/>
        <v>1.527415925698287E-4</v>
      </c>
      <c r="K10" s="812">
        <f t="shared" si="3"/>
        <v>5.576566224167869E-3</v>
      </c>
      <c r="L10" s="815">
        <f t="shared" si="4"/>
        <v>1.4216760398518902E-4</v>
      </c>
      <c r="M10" s="816">
        <f>IF(B10&lt;&gt;0,B10,IF((VLOOKUP(A10,[1]!TOX,44,FALSE))=0,O10,MIN(O10,(VLOOKUP(A10,[1]!TOX,44,FALSE)))))</f>
        <v>1.4216760398518902E-4</v>
      </c>
      <c r="N10" s="817" t="str">
        <f t="shared" si="5"/>
        <v>Cancer</v>
      </c>
      <c r="O10" s="818">
        <f t="shared" si="6"/>
        <v>1.4216760398518902E-4</v>
      </c>
      <c r="P10" s="582">
        <f>IF($B10&lt;&gt;0,$B10,MIN(M10,(VLOOKUP(A10,[1]!TOX,79,FALSE))))</f>
        <v>1.4216760398518902E-4</v>
      </c>
      <c r="Q10" s="819">
        <f>IF($B10&lt;&gt;0,$B10,MAX($P10,(VLOOKUP(A10,[1]!TOX,40,FALSE)),(VLOOKUP(A10,[1]!TOX,51,FALSE))))</f>
        <v>0.5</v>
      </c>
      <c r="R10" s="820">
        <f t="shared" si="7"/>
        <v>0.5</v>
      </c>
      <c r="S10" s="821" t="str">
        <f>IF(Q10=M10,N10,IF(Q10=(VLOOKUP(A10,[1]!TOX,40,FALSE)),"Bckgrnd",IF(Q10=(VLOOKUP(A10,[1]!TOX,79,FALSE)),"Ceiling","PQL")))</f>
        <v>PQL</v>
      </c>
    </row>
    <row r="11" spans="1:19" s="94" customFormat="1" ht="10" x14ac:dyDescent="0.25">
      <c r="A11" s="619" t="s">
        <v>162</v>
      </c>
      <c r="B11" s="822"/>
      <c r="C11" s="823"/>
      <c r="D11" s="812">
        <f>IF((VLOOKUP(A11,[1]!TOX,4,FALSE))=0,0,('[1]Target Risk'!$D$8*(VLOOKUP(A11,[1]!TOX,4,FALSE))/('GW-1 Exp'!$J$18*(VLOOKUP(A11,[1]!TOX,31,FALSE)))))</f>
        <v>973.16620879120887</v>
      </c>
      <c r="E11" s="812">
        <f t="shared" si="0"/>
        <v>4476.5645604395604</v>
      </c>
      <c r="F11" s="812">
        <f t="shared" si="1"/>
        <v>117.3114632377503</v>
      </c>
      <c r="G11" s="813">
        <f t="shared" si="8"/>
        <v>102.29890781735142</v>
      </c>
      <c r="H11" s="814">
        <f>IF(ISERR(1/(VLOOKUP(A11,[1]!TOX,12,FALSE))),0,'[1]Target Risk'!$D$12/('GW-1 Exp'!$J$26*(VLOOKUP(A11,[1]!TOX,33,FALSE))*(VLOOKUP(A11,[1]!TOX,12,FALSE))))</f>
        <v>0</v>
      </c>
      <c r="I11" s="815">
        <f>IF(ISERR(1/(VLOOKUP(A11,[1]!TOX,12,FALSE))),0,IF(VLOOKUP(A11,[1]!TOX,36,FALSE)="M",'[1]Target Risk'!$D$12/(((('GW-1 Exp'!$J$33*(VLOOKUP(A11,[1]!TOX,33,FALSE))*(VLOOKUP(A11,[1]!TOX,12,FALSE))))*10)+((('GW-1 Exp'!$J$34*(VLOOKUP(A11,[1]!TOX,33,FALSE))*(VLOOKUP(A11,[1]!TOX,12,FALSE))))*3)+((('GW-1 Exp'!$J$35*(VLOOKUP(A11,[1]!TOX,33,FALSE))*(VLOOKUP(A11,[1]!TOX,12,FALSE))))*3)+((('GW-1 Exp'!$J$36*(VLOOKUP(A11,[1]!TOX,33,FALSE))*(VLOOKUP(A11,[1]!TOX,12,FALSE))))*1)),'[1]Target Risk'!$D$12/('GW-1 Exp'!$J$26*(VLOOKUP(A11,[1]!TOX,33,FALSE))*(VLOOKUP(A11,[1]!TOX,12,FALSE)))))</f>
        <v>0</v>
      </c>
      <c r="J11" s="812">
        <f t="shared" si="2"/>
        <v>0</v>
      </c>
      <c r="K11" s="812">
        <f t="shared" si="3"/>
        <v>0</v>
      </c>
      <c r="L11" s="815">
        <f t="shared" si="4"/>
        <v>0</v>
      </c>
      <c r="M11" s="816">
        <f>IF(B11&lt;&gt;0,B11,IF((VLOOKUP(A11,[1]!TOX,44,FALSE))=0,O11,MIN(O11,(VLOOKUP(A11,[1]!TOX,44,FALSE)))))</f>
        <v>102.29890781735142</v>
      </c>
      <c r="N11" s="817" t="str">
        <f t="shared" si="5"/>
        <v>Noncancer</v>
      </c>
      <c r="O11" s="818">
        <f t="shared" si="6"/>
        <v>102.29890781735142</v>
      </c>
      <c r="P11" s="582">
        <f>IF($B11&lt;&gt;0,$B11,MIN(M11,(VLOOKUP(A11,[1]!TOX,79,FALSE))))</f>
        <v>102.29890781735142</v>
      </c>
      <c r="Q11" s="819">
        <f>IF($B11&lt;&gt;0,$B11,MAX($P11,(VLOOKUP(A11,[1]!TOX,40,FALSE)),(VLOOKUP(A11,[1]!TOX,51,FALSE))))</f>
        <v>102.29890781735142</v>
      </c>
      <c r="R11" s="820">
        <f t="shared" si="7"/>
        <v>100</v>
      </c>
      <c r="S11" s="821" t="str">
        <f>IF(Q11=M11,N11,IF(Q11=(VLOOKUP(A11,[1]!TOX,40,FALSE)),"Bckgrnd",IF(Q11=(VLOOKUP(A11,[1]!TOX,79,FALSE)),"Ceiling","PQL")))</f>
        <v>Noncancer</v>
      </c>
    </row>
    <row r="12" spans="1:19" s="94" customFormat="1" ht="10" x14ac:dyDescent="0.25">
      <c r="A12" s="619" t="s">
        <v>163</v>
      </c>
      <c r="B12" s="822">
        <v>6</v>
      </c>
      <c r="C12" s="823" t="s">
        <v>341</v>
      </c>
      <c r="D12" s="812">
        <f>IF((VLOOKUP(A12,[1]!TOX,4,FALSE))=0,0,('[1]Target Risk'!$D$8*(VLOOKUP(A12,[1]!TOX,4,FALSE))/('GW-1 Exp'!$J$18*(VLOOKUP(A12,[1]!TOX,31,FALSE)))))</f>
        <v>1.2975549450549453</v>
      </c>
      <c r="E12" s="812">
        <f t="shared" si="0"/>
        <v>33.225249077052901</v>
      </c>
      <c r="F12" s="812">
        <f t="shared" si="1"/>
        <v>0</v>
      </c>
      <c r="G12" s="813">
        <f t="shared" si="8"/>
        <v>1.2487857652873238</v>
      </c>
      <c r="H12" s="814">
        <f>IF(ISERR(1/(VLOOKUP(A12,[1]!TOX,12,FALSE))),0,'[1]Target Risk'!$D$12/('GW-1 Exp'!$J$26*(VLOOKUP(A12,[1]!TOX,33,FALSE))*(VLOOKUP(A12,[1]!TOX,12,FALSE))))</f>
        <v>0</v>
      </c>
      <c r="I12" s="815">
        <f>IF(ISERR(1/(VLOOKUP(A12,[1]!TOX,12,FALSE))),0,IF(VLOOKUP(A12,[1]!TOX,36,FALSE)="M",'[1]Target Risk'!$D$12/(((('GW-1 Exp'!$J$33*(VLOOKUP(A12,[1]!TOX,33,FALSE))*(VLOOKUP(A12,[1]!TOX,12,FALSE))))*10)+((('GW-1 Exp'!$J$34*(VLOOKUP(A12,[1]!TOX,33,FALSE))*(VLOOKUP(A12,[1]!TOX,12,FALSE))))*3)+((('GW-1 Exp'!$J$35*(VLOOKUP(A12,[1]!TOX,33,FALSE))*(VLOOKUP(A12,[1]!TOX,12,FALSE))))*3)+((('GW-1 Exp'!$J$36*(VLOOKUP(A12,[1]!TOX,33,FALSE))*(VLOOKUP(A12,[1]!TOX,12,FALSE))))*1)),'[1]Target Risk'!$D$12/('GW-1 Exp'!$J$26*(VLOOKUP(A12,[1]!TOX,33,FALSE))*(VLOOKUP(A12,[1]!TOX,12,FALSE)))))</f>
        <v>0</v>
      </c>
      <c r="J12" s="812">
        <f t="shared" si="2"/>
        <v>0</v>
      </c>
      <c r="K12" s="812">
        <f t="shared" si="3"/>
        <v>0</v>
      </c>
      <c r="L12" s="815">
        <f t="shared" si="4"/>
        <v>0</v>
      </c>
      <c r="M12" s="816">
        <f>IF(B12&lt;&gt;0,B12,IF((VLOOKUP(A12,[1]!TOX,44,FALSE))=0,O12,MIN(O12,(VLOOKUP(A12,[1]!TOX,44,FALSE)))))</f>
        <v>6</v>
      </c>
      <c r="N12" s="817" t="str">
        <f t="shared" si="5"/>
        <v>MMCL</v>
      </c>
      <c r="O12" s="818">
        <f t="shared" si="6"/>
        <v>1.2487857652873238</v>
      </c>
      <c r="P12" s="582">
        <f>IF($B12&lt;&gt;0,$B12,MIN(M12,(VLOOKUP(A12,[1]!TOX,79,FALSE))))</f>
        <v>6</v>
      </c>
      <c r="Q12" s="819">
        <f>IF($B12&lt;&gt;0,$B12,MAX($P12,(VLOOKUP(A12,[1]!TOX,40,FALSE)),(VLOOKUP(A12,[1]!TOX,51,FALSE))))</f>
        <v>6</v>
      </c>
      <c r="R12" s="820">
        <f t="shared" si="7"/>
        <v>6</v>
      </c>
      <c r="S12" s="821" t="str">
        <f>IF(Q12=M12,N12,IF(Q12=(VLOOKUP(A12,[1]!TOX,40,FALSE)),"Bckgrnd",IF(Q12=(VLOOKUP(A12,[1]!TOX,79,FALSE)),"Ceiling","PQL")))</f>
        <v>MMCL</v>
      </c>
    </row>
    <row r="13" spans="1:19" s="94" customFormat="1" ht="10" x14ac:dyDescent="0.25">
      <c r="A13" s="619" t="s">
        <v>164</v>
      </c>
      <c r="B13" s="822">
        <v>10</v>
      </c>
      <c r="C13" s="823" t="s">
        <v>341</v>
      </c>
      <c r="D13" s="812">
        <f>IF((VLOOKUP(A13,[1]!TOX,4,FALSE))=0,0,('[1]Target Risk'!$D$8*(VLOOKUP(A13,[1]!TOX,4,FALSE))/('GW-1 Exp'!$J$18*(VLOOKUP(A13,[1]!TOX,31,FALSE)))))</f>
        <v>0.97316620879120885</v>
      </c>
      <c r="E13" s="812">
        <f t="shared" si="0"/>
        <v>244.20558071633877</v>
      </c>
      <c r="F13" s="812">
        <f t="shared" si="1"/>
        <v>0</v>
      </c>
      <c r="G13" s="813">
        <f t="shared" si="8"/>
        <v>0.96930350665323672</v>
      </c>
      <c r="H13" s="814">
        <f>IF(ISERR(1/(VLOOKUP(A13,[1]!TOX,12,FALSE))),0,'[1]Target Risk'!$D$12/('GW-1 Exp'!$J$26*(VLOOKUP(A13,[1]!TOX,33,FALSE))*(VLOOKUP(A13,[1]!TOX,12,FALSE))))</f>
        <v>3.6841480296994189E-2</v>
      </c>
      <c r="I13" s="815">
        <f>IF(ISERR(1/(VLOOKUP(A13,[1]!TOX,12,FALSE))),0,IF(VLOOKUP(A13,[1]!TOX,36,FALSE)="M",'[1]Target Risk'!$D$12/(((('GW-1 Exp'!$J$33*(VLOOKUP(A13,[1]!TOX,33,FALSE))*(VLOOKUP(A13,[1]!TOX,12,FALSE))))*10)+((('GW-1 Exp'!$J$34*(VLOOKUP(A13,[1]!TOX,33,FALSE))*(VLOOKUP(A13,[1]!TOX,12,FALSE))))*3)+((('GW-1 Exp'!$J$35*(VLOOKUP(A13,[1]!TOX,33,FALSE))*(VLOOKUP(A13,[1]!TOX,12,FALSE))))*3)+((('GW-1 Exp'!$J$36*(VLOOKUP(A13,[1]!TOX,33,FALSE))*(VLOOKUP(A13,[1]!TOX,12,FALSE))))*1)),'[1]Target Risk'!$D$12/('GW-1 Exp'!$J$26*(VLOOKUP(A13,[1]!TOX,33,FALSE))*(VLOOKUP(A13,[1]!TOX,12,FALSE)))))</f>
        <v>3.6841480296994189E-2</v>
      </c>
      <c r="J13" s="812">
        <f t="shared" si="2"/>
        <v>6.3814264575411901</v>
      </c>
      <c r="K13" s="812">
        <f t="shared" si="3"/>
        <v>0</v>
      </c>
      <c r="L13" s="815">
        <f t="shared" si="4"/>
        <v>3.663000662783307E-2</v>
      </c>
      <c r="M13" s="816">
        <f>IF(B13&lt;&gt;0,B13,IF((VLOOKUP(A13,[1]!TOX,44,FALSE))=0,O13,MIN(O13,(VLOOKUP(A13,[1]!TOX,44,FALSE)))))</f>
        <v>10</v>
      </c>
      <c r="N13" s="817" t="str">
        <f t="shared" si="5"/>
        <v>MMCL</v>
      </c>
      <c r="O13" s="818">
        <f t="shared" si="6"/>
        <v>3.663000662783307E-2</v>
      </c>
      <c r="P13" s="582">
        <f>IF($B13&lt;&gt;0,$B13,MIN(M13,(VLOOKUP(A13,[1]!TOX,79,FALSE))))</f>
        <v>10</v>
      </c>
      <c r="Q13" s="819">
        <f>IF($B13&lt;&gt;0,$B13,MAX($P13,(VLOOKUP(A13,[1]!TOX,40,FALSE)),(VLOOKUP(A13,[1]!TOX,51,FALSE))))</f>
        <v>10</v>
      </c>
      <c r="R13" s="820">
        <f t="shared" si="7"/>
        <v>10</v>
      </c>
      <c r="S13" s="821" t="str">
        <f>IF(Q13=M13,N13,IF(Q13=(VLOOKUP(A13,[1]!TOX,40,FALSE)),"Bckgrnd",IF(Q13=(VLOOKUP(A13,[1]!TOX,79,FALSE)),"Ceiling","PQL")))</f>
        <v>MMCL</v>
      </c>
    </row>
    <row r="14" spans="1:19" s="94" customFormat="1" ht="10" x14ac:dyDescent="0.25">
      <c r="A14" s="619" t="s">
        <v>166</v>
      </c>
      <c r="B14" s="822">
        <v>2000</v>
      </c>
      <c r="C14" s="823" t="s">
        <v>341</v>
      </c>
      <c r="D14" s="812">
        <f>IF((VLOOKUP(A14,[1]!TOX,4,FALSE))=0,0,('[1]Target Risk'!$D$8*(VLOOKUP(A14,[1]!TOX,4,FALSE))/('GW-1 Exp'!$J$18*(VLOOKUP(A14,[1]!TOX,31,FALSE)))))</f>
        <v>648.7774725274727</v>
      </c>
      <c r="E14" s="812">
        <f t="shared" si="0"/>
        <v>151174.88330059074</v>
      </c>
      <c r="F14" s="812">
        <f t="shared" si="1"/>
        <v>0</v>
      </c>
      <c r="G14" s="813">
        <f t="shared" si="8"/>
        <v>646.0050969523104</v>
      </c>
      <c r="H14" s="814">
        <f>IF(ISERR(1/(VLOOKUP(A14,[1]!TOX,12,FALSE))),0,'[1]Target Risk'!$D$12/('GW-1 Exp'!$J$26*(VLOOKUP(A14,[1]!TOX,33,FALSE))*(VLOOKUP(A14,[1]!TOX,12,FALSE))))</f>
        <v>0</v>
      </c>
      <c r="I14" s="815">
        <f>IF(ISERR(1/(VLOOKUP(A14,[1]!TOX,12,FALSE))),0,IF(VLOOKUP(A14,[1]!TOX,36,FALSE)="M",'[1]Target Risk'!$D$12/(((('GW-1 Exp'!$J$33*(VLOOKUP(A14,[1]!TOX,33,FALSE))*(VLOOKUP(A14,[1]!TOX,12,FALSE))))*10)+((('GW-1 Exp'!$J$34*(VLOOKUP(A14,[1]!TOX,33,FALSE))*(VLOOKUP(A14,[1]!TOX,12,FALSE))))*3)+((('GW-1 Exp'!$J$35*(VLOOKUP(A14,[1]!TOX,33,FALSE))*(VLOOKUP(A14,[1]!TOX,12,FALSE))))*3)+((('GW-1 Exp'!$J$36*(VLOOKUP(A14,[1]!TOX,33,FALSE))*(VLOOKUP(A14,[1]!TOX,12,FALSE))))*1)),'[1]Target Risk'!$D$12/('GW-1 Exp'!$J$26*(VLOOKUP(A14,[1]!TOX,33,FALSE))*(VLOOKUP(A14,[1]!TOX,12,FALSE)))))</f>
        <v>0</v>
      </c>
      <c r="J14" s="812">
        <f t="shared" si="2"/>
        <v>0</v>
      </c>
      <c r="K14" s="812">
        <f t="shared" si="3"/>
        <v>0</v>
      </c>
      <c r="L14" s="815">
        <f t="shared" si="4"/>
        <v>0</v>
      </c>
      <c r="M14" s="816">
        <f>IF(B14&lt;&gt;0,B14,IF((VLOOKUP(A14,[1]!TOX,44,FALSE))=0,O14,MIN(O14,(VLOOKUP(A14,[1]!TOX,44,FALSE)))))</f>
        <v>2000</v>
      </c>
      <c r="N14" s="817" t="str">
        <f t="shared" si="5"/>
        <v>MMCL</v>
      </c>
      <c r="O14" s="818">
        <f t="shared" si="6"/>
        <v>646.0050969523104</v>
      </c>
      <c r="P14" s="582">
        <f>IF($B14&lt;&gt;0,$B14,MIN(M14,(VLOOKUP(A14,[1]!TOX,79,FALSE))))</f>
        <v>2000</v>
      </c>
      <c r="Q14" s="819">
        <f>IF($B14&lt;&gt;0,$B14,MAX($P14,(VLOOKUP(A14,[1]!TOX,40,FALSE)),(VLOOKUP(A14,[1]!TOX,51,FALSE))))</f>
        <v>2000</v>
      </c>
      <c r="R14" s="820">
        <f t="shared" si="7"/>
        <v>2000</v>
      </c>
      <c r="S14" s="821" t="str">
        <f>IF(Q14=M14,N14,IF(Q14=(VLOOKUP(A14,[1]!TOX,40,FALSE)),"Bckgrnd",IF(Q14=(VLOOKUP(A14,[1]!TOX,79,FALSE)),"Ceiling","PQL")))</f>
        <v>MMCL</v>
      </c>
    </row>
    <row r="15" spans="1:19" s="94" customFormat="1" ht="10" x14ac:dyDescent="0.25">
      <c r="A15" s="619" t="s">
        <v>167</v>
      </c>
      <c r="B15" s="822">
        <v>5</v>
      </c>
      <c r="C15" s="823" t="s">
        <v>341</v>
      </c>
      <c r="D15" s="812">
        <f>IF((VLOOKUP(A15,[1]!TOX,4,FALSE))=0,0,('[1]Target Risk'!$D$8*(VLOOKUP(A15,[1]!TOX,4,FALSE))/('GW-1 Exp'!$J$18*(VLOOKUP(A15,[1]!TOX,31,FALSE)))))</f>
        <v>12.975549450549453</v>
      </c>
      <c r="E15" s="812">
        <f t="shared" si="0"/>
        <v>116.97369652216302</v>
      </c>
      <c r="F15" s="812">
        <f t="shared" si="1"/>
        <v>1.1541015304866635</v>
      </c>
      <c r="G15" s="813">
        <f t="shared" si="8"/>
        <v>1.0503188313670668</v>
      </c>
      <c r="H15" s="814">
        <f>IF(ISERR(1/(VLOOKUP(A15,[1]!TOX,12,FALSE))),0,'[1]Target Risk'!$D$12/('GW-1 Exp'!$J$26*(VLOOKUP(A15,[1]!TOX,33,FALSE))*(VLOOKUP(A15,[1]!TOX,12,FALSE))))</f>
        <v>1.0047676444634779</v>
      </c>
      <c r="I15" s="815">
        <f>IF(ISERR(1/(VLOOKUP(A15,[1]!TOX,12,FALSE))),0,IF(VLOOKUP(A15,[1]!TOX,36,FALSE)="M",'[1]Target Risk'!$D$12/(((('GW-1 Exp'!$J$33*(VLOOKUP(A15,[1]!TOX,33,FALSE))*(VLOOKUP(A15,[1]!TOX,12,FALSE))))*10)+((('GW-1 Exp'!$J$34*(VLOOKUP(A15,[1]!TOX,33,FALSE))*(VLOOKUP(A15,[1]!TOX,12,FALSE))))*3)+((('GW-1 Exp'!$J$35*(VLOOKUP(A15,[1]!TOX,33,FALSE))*(VLOOKUP(A15,[1]!TOX,12,FALSE))))*3)+((('GW-1 Exp'!$J$36*(VLOOKUP(A15,[1]!TOX,33,FALSE))*(VLOOKUP(A15,[1]!TOX,12,FALSE))))*1)),'[1]Target Risk'!$D$12/('GW-1 Exp'!$J$26*(VLOOKUP(A15,[1]!TOX,33,FALSE))*(VLOOKUP(A15,[1]!TOX,12,FALSE)))))</f>
        <v>1.0047676444634779</v>
      </c>
      <c r="J15" s="812">
        <f t="shared" si="2"/>
        <v>6.9125285082768642</v>
      </c>
      <c r="K15" s="812">
        <f t="shared" si="3"/>
        <v>0.33564605567301975</v>
      </c>
      <c r="L15" s="815">
        <f t="shared" si="4"/>
        <v>0.24276271185033674</v>
      </c>
      <c r="M15" s="816">
        <f>IF(B15&lt;&gt;0,B15,IF((VLOOKUP(A15,[1]!TOX,44,FALSE))=0,O15,MIN(O15,(VLOOKUP(A15,[1]!TOX,44,FALSE)))))</f>
        <v>5</v>
      </c>
      <c r="N15" s="817" t="str">
        <f t="shared" si="5"/>
        <v>MMCL</v>
      </c>
      <c r="O15" s="818">
        <f t="shared" si="6"/>
        <v>0.24276271185033674</v>
      </c>
      <c r="P15" s="582">
        <f>IF($B15&lt;&gt;0,$B15,MIN(M15,(VLOOKUP(A15,[1]!TOX,79,FALSE))))</f>
        <v>5</v>
      </c>
      <c r="Q15" s="819">
        <f>IF($B15&lt;&gt;0,$B15,MAX($P15,(VLOOKUP(A15,[1]!TOX,40,FALSE)),(VLOOKUP(A15,[1]!TOX,51,FALSE))))</f>
        <v>5</v>
      </c>
      <c r="R15" s="820">
        <f t="shared" si="7"/>
        <v>5</v>
      </c>
      <c r="S15" s="821" t="str">
        <f>IF(Q15=M15,N15,IF(Q15=(VLOOKUP(A15,[1]!TOX,40,FALSE)),"Bckgrnd",IF(Q15=(VLOOKUP(A15,[1]!TOX,79,FALSE)),"Ceiling","PQL")))</f>
        <v>MMCL</v>
      </c>
    </row>
    <row r="16" spans="1:19" s="94" customFormat="1" ht="10" x14ac:dyDescent="0.25">
      <c r="A16" s="619" t="s">
        <v>168</v>
      </c>
      <c r="B16" s="822"/>
      <c r="C16" s="823"/>
      <c r="D16" s="812">
        <f>IF((VLOOKUP(A16,[1]!TOX,4,FALSE))=0,0,('[1]Target Risk'!$D$8*(VLOOKUP(A16,[1]!TOX,4,FALSE))/('GW-1 Exp'!$J$18*(VLOOKUP(A16,[1]!TOX,31,FALSE)))))</f>
        <v>97.31662087912089</v>
      </c>
      <c r="E16" s="812">
        <f t="shared" si="0"/>
        <v>89.531291208791231</v>
      </c>
      <c r="F16" s="812">
        <f t="shared" si="1"/>
        <v>511.23214899353724</v>
      </c>
      <c r="G16" s="813">
        <f t="shared" si="8"/>
        <v>42.733079887781855</v>
      </c>
      <c r="H16" s="814">
        <f>IF(ISERR(1/(VLOOKUP(A16,[1]!TOX,12,FALSE))),0,'[1]Target Risk'!$D$12/('GW-1 Exp'!$J$26*(VLOOKUP(A16,[1]!TOX,33,FALSE))*(VLOOKUP(A16,[1]!TOX,12,FALSE))))</f>
        <v>0.55262220445491284</v>
      </c>
      <c r="I16" s="815">
        <f>IF(ISERR(1/(VLOOKUP(A16,[1]!TOX,12,FALSE))),0,IF(VLOOKUP(A16,[1]!TOX,36,FALSE)="M",'[1]Target Risk'!$D$12/(((('GW-1 Exp'!$J$33*(VLOOKUP(A16,[1]!TOX,33,FALSE))*(VLOOKUP(A16,[1]!TOX,12,FALSE))))*10)+((('GW-1 Exp'!$J$34*(VLOOKUP(A16,[1]!TOX,33,FALSE))*(VLOOKUP(A16,[1]!TOX,12,FALSE))))*3)+((('GW-1 Exp'!$J$35*(VLOOKUP(A16,[1]!TOX,33,FALSE))*(VLOOKUP(A16,[1]!TOX,12,FALSE))))*3)+((('GW-1 Exp'!$J$36*(VLOOKUP(A16,[1]!TOX,33,FALSE))*(VLOOKUP(A16,[1]!TOX,12,FALSE))))*1)),'[1]Target Risk'!$D$12/('GW-1 Exp'!$J$26*(VLOOKUP(A16,[1]!TOX,33,FALSE))*(VLOOKUP(A16,[1]!TOX,12,FALSE)))))</f>
        <v>0.15271954167573876</v>
      </c>
      <c r="J16" s="812">
        <f t="shared" si="2"/>
        <v>0.14050197834167966</v>
      </c>
      <c r="K16" s="812">
        <f t="shared" si="3"/>
        <v>0.55051724543413205</v>
      </c>
      <c r="L16" s="815">
        <f t="shared" si="4"/>
        <v>6.4592133001685592E-2</v>
      </c>
      <c r="M16" s="816">
        <f>IF(B16&lt;&gt;0,B16,IF((VLOOKUP(A16,[1]!TOX,44,FALSE))=0,O16,MIN(O16,(VLOOKUP(A16,[1]!TOX,44,FALSE)))))</f>
        <v>6.4592133001685592E-2</v>
      </c>
      <c r="N16" s="817" t="str">
        <f t="shared" si="5"/>
        <v>Cancer</v>
      </c>
      <c r="O16" s="818">
        <f t="shared" si="6"/>
        <v>6.4592133001685592E-2</v>
      </c>
      <c r="P16" s="582">
        <f>IF($B16&lt;&gt;0,$B16,MIN(M16,(VLOOKUP(A16,[1]!TOX,79,FALSE))))</f>
        <v>6.4592133001685592E-2</v>
      </c>
      <c r="Q16" s="819">
        <f>IF($B16&lt;&gt;0,$B16,MAX($P16,(VLOOKUP(A16,[1]!TOX,40,FALSE)),(VLOOKUP(A16,[1]!TOX,51,FALSE))))</f>
        <v>1</v>
      </c>
      <c r="R16" s="820">
        <f t="shared" si="7"/>
        <v>1</v>
      </c>
      <c r="S16" s="821" t="str">
        <f>IF(Q16=M16,N16,IF(Q16=(VLOOKUP(A16,[1]!TOX,40,FALSE)),"Bckgrnd",IF(Q16=(VLOOKUP(A16,[1]!TOX,79,FALSE)),"Ceiling","PQL")))</f>
        <v>PQL</v>
      </c>
    </row>
    <row r="17" spans="1:19" s="94" customFormat="1" ht="10" x14ac:dyDescent="0.25">
      <c r="A17" s="619" t="s">
        <v>169</v>
      </c>
      <c r="B17" s="822">
        <v>0.2</v>
      </c>
      <c r="C17" s="823" t="s">
        <v>341</v>
      </c>
      <c r="D17" s="812">
        <f>IF((VLOOKUP(A17,[1]!TOX,4,FALSE))=0,0,('[1]Target Risk'!$D$8*(VLOOKUP(A17,[1]!TOX,4,FALSE))/('GW-1 Exp'!$J$18*(VLOOKUP(A17,[1]!TOX,31,FALSE)))))</f>
        <v>0.97316620879120885</v>
      </c>
      <c r="E17" s="812">
        <f t="shared" si="0"/>
        <v>0.89531291208791219</v>
      </c>
      <c r="F17" s="812">
        <f t="shared" si="1"/>
        <v>0.53501637720742012</v>
      </c>
      <c r="G17" s="813">
        <f t="shared" si="8"/>
        <v>0.2491526757841091</v>
      </c>
      <c r="H17" s="814">
        <f>IF(ISERR(1/(VLOOKUP(A17,[1]!TOX,12,FALSE))),0,'[1]Target Risk'!$D$12/('GW-1 Exp'!$J$26*(VLOOKUP(A17,[1]!TOX,33,FALSE))*(VLOOKUP(A17,[1]!TOX,12,FALSE))))</f>
        <v>5.5262220445491284E-2</v>
      </c>
      <c r="I17" s="815">
        <f>IF(ISERR(1/(VLOOKUP(A17,[1]!TOX,12,FALSE))),0,IF(VLOOKUP(A17,[1]!TOX,36,FALSE)="M",'[1]Target Risk'!$D$12/(((('GW-1 Exp'!$J$33*(VLOOKUP(A17,[1]!TOX,33,FALSE))*(VLOOKUP(A17,[1]!TOX,12,FALSE))))*10)+((('GW-1 Exp'!$J$34*(VLOOKUP(A17,[1]!TOX,33,FALSE))*(VLOOKUP(A17,[1]!TOX,12,FALSE))))*3)+((('GW-1 Exp'!$J$35*(VLOOKUP(A17,[1]!TOX,33,FALSE))*(VLOOKUP(A17,[1]!TOX,12,FALSE))))*3)+((('GW-1 Exp'!$J$36*(VLOOKUP(A17,[1]!TOX,33,FALSE))*(VLOOKUP(A17,[1]!TOX,12,FALSE))))*1)),'[1]Target Risk'!$D$12/('GW-1 Exp'!$J$26*(VLOOKUP(A17,[1]!TOX,33,FALSE))*(VLOOKUP(A17,[1]!TOX,12,FALSE)))))</f>
        <v>1.5271954167573877E-2</v>
      </c>
      <c r="J17" s="812">
        <f t="shared" si="2"/>
        <v>1.4050197834167968E-2</v>
      </c>
      <c r="K17" s="812">
        <f t="shared" si="3"/>
        <v>1.4403228690832044</v>
      </c>
      <c r="L17" s="815">
        <f t="shared" si="4"/>
        <v>7.2808198974905272E-3</v>
      </c>
      <c r="M17" s="816">
        <f>IF(B17&lt;&gt;0,B17,IF((VLOOKUP(A17,[1]!TOX,44,FALSE))=0,O17,MIN(O17,(VLOOKUP(A17,[1]!TOX,44,FALSE)))))</f>
        <v>0.2</v>
      </c>
      <c r="N17" s="817" t="str">
        <f t="shared" si="5"/>
        <v>MMCL</v>
      </c>
      <c r="O17" s="818">
        <f t="shared" si="6"/>
        <v>7.2808198974905272E-3</v>
      </c>
      <c r="P17" s="582">
        <f>IF($B17&lt;&gt;0,$B17,MIN(M17,(VLOOKUP(A17,[1]!TOX,79,FALSE))))</f>
        <v>0.2</v>
      </c>
      <c r="Q17" s="819">
        <f>IF($B17&lt;&gt;0,$B17,MAX($P17,(VLOOKUP(A17,[1]!TOX,40,FALSE)),(VLOOKUP(A17,[1]!TOX,51,FALSE))))</f>
        <v>0.2</v>
      </c>
      <c r="R17" s="820">
        <f t="shared" si="7"/>
        <v>0.2</v>
      </c>
      <c r="S17" s="821" t="str">
        <f>IF(Q17=M17,N17,IF(Q17=(VLOOKUP(A17,[1]!TOX,40,FALSE)),"Bckgrnd",IF(Q17=(VLOOKUP(A17,[1]!TOX,79,FALSE)),"Ceiling","PQL")))</f>
        <v>MMCL</v>
      </c>
    </row>
    <row r="18" spans="1:19" s="94" customFormat="1" ht="10" x14ac:dyDescent="0.25">
      <c r="A18" s="619" t="s">
        <v>170</v>
      </c>
      <c r="B18" s="822"/>
      <c r="C18" s="823"/>
      <c r="D18" s="812">
        <f>IF((VLOOKUP(A18,[1]!TOX,4,FALSE))=0,0,('[1]Target Risk'!$D$8*(VLOOKUP(A18,[1]!TOX,4,FALSE))/('GW-1 Exp'!$J$18*(VLOOKUP(A18,[1]!TOX,31,FALSE)))))</f>
        <v>97.31662087912089</v>
      </c>
      <c r="E18" s="812">
        <f t="shared" si="0"/>
        <v>447.6564560439561</v>
      </c>
      <c r="F18" s="812">
        <f t="shared" si="1"/>
        <v>9312.5570981749515</v>
      </c>
      <c r="G18" s="813">
        <f t="shared" si="8"/>
        <v>79.258302467052161</v>
      </c>
      <c r="H18" s="814">
        <f>IF(ISERR(1/(VLOOKUP(A18,[1]!TOX,12,FALSE))),0,'[1]Target Risk'!$D$12/('GW-1 Exp'!$J$26*(VLOOKUP(A18,[1]!TOX,33,FALSE))*(VLOOKUP(A18,[1]!TOX,12,FALSE))))</f>
        <v>0.55262220445491284</v>
      </c>
      <c r="I18" s="815">
        <f>IF(ISERR(1/(VLOOKUP(A18,[1]!TOX,12,FALSE))),0,IF(VLOOKUP(A18,[1]!TOX,36,FALSE)="M",'[1]Target Risk'!$D$12/(((('GW-1 Exp'!$J$33*(VLOOKUP(A18,[1]!TOX,33,FALSE))*(VLOOKUP(A18,[1]!TOX,12,FALSE))))*10)+((('GW-1 Exp'!$J$34*(VLOOKUP(A18,[1]!TOX,33,FALSE))*(VLOOKUP(A18,[1]!TOX,12,FALSE))))*3)+((('GW-1 Exp'!$J$35*(VLOOKUP(A18,[1]!TOX,33,FALSE))*(VLOOKUP(A18,[1]!TOX,12,FALSE))))*3)+((('GW-1 Exp'!$J$36*(VLOOKUP(A18,[1]!TOX,33,FALSE))*(VLOOKUP(A18,[1]!TOX,12,FALSE))))*1)),'[1]Target Risk'!$D$12/('GW-1 Exp'!$J$26*(VLOOKUP(A18,[1]!TOX,33,FALSE))*(VLOOKUP(A18,[1]!TOX,12,FALSE)))))</f>
        <v>0.15271954167573876</v>
      </c>
      <c r="J18" s="812">
        <f t="shared" si="2"/>
        <v>0.70250989170839828</v>
      </c>
      <c r="K18" s="812">
        <f t="shared" si="3"/>
        <v>10.028170747337247</v>
      </c>
      <c r="L18" s="815">
        <f t="shared" si="4"/>
        <v>0.12389827962166416</v>
      </c>
      <c r="M18" s="816">
        <f>IF(B18&lt;&gt;0,B18,IF((VLOOKUP(A18,[1]!TOX,44,FALSE))=0,O18,MIN(O18,(VLOOKUP(A18,[1]!TOX,44,FALSE)))))</f>
        <v>0.12389827962166416</v>
      </c>
      <c r="N18" s="817" t="str">
        <f t="shared" si="5"/>
        <v>Cancer</v>
      </c>
      <c r="O18" s="818">
        <f t="shared" si="6"/>
        <v>0.12389827962166416</v>
      </c>
      <c r="P18" s="582">
        <f>IF($B18&lt;&gt;0,$B18,MIN(M18,(VLOOKUP(A18,[1]!TOX,79,FALSE))))</f>
        <v>0.12389827962166416</v>
      </c>
      <c r="Q18" s="819">
        <f>IF($B18&lt;&gt;0,$B18,MAX($P18,(VLOOKUP(A18,[1]!TOX,40,FALSE)),(VLOOKUP(A18,[1]!TOX,51,FALSE))))</f>
        <v>1</v>
      </c>
      <c r="R18" s="820">
        <f t="shared" si="7"/>
        <v>1</v>
      </c>
      <c r="S18" s="821" t="str">
        <f>IF(Q18=M18,N18,IF(Q18=(VLOOKUP(A18,[1]!TOX,40,FALSE)),"Bckgrnd",IF(Q18=(VLOOKUP(A18,[1]!TOX,79,FALSE)),"Ceiling","PQL")))</f>
        <v>PQL</v>
      </c>
    </row>
    <row r="19" spans="1:19" s="94" customFormat="1" ht="10" x14ac:dyDescent="0.25">
      <c r="A19" s="619" t="s">
        <v>171</v>
      </c>
      <c r="B19" s="822"/>
      <c r="C19" s="823"/>
      <c r="D19" s="812">
        <f>IF((VLOOKUP(A19,[1]!TOX,4,FALSE))=0,0,('[1]Target Risk'!$D$8*(VLOOKUP(A19,[1]!TOX,4,FALSE))/('GW-1 Exp'!$J$18*(VLOOKUP(A19,[1]!TOX,31,FALSE)))))</f>
        <v>97.31662087912089</v>
      </c>
      <c r="E19" s="812">
        <f t="shared" si="0"/>
        <v>89.531291208791231</v>
      </c>
      <c r="F19" s="812">
        <f t="shared" si="1"/>
        <v>19314.595564717751</v>
      </c>
      <c r="G19" s="813">
        <f t="shared" si="8"/>
        <v>46.518571886109164</v>
      </c>
      <c r="H19" s="814">
        <f>IF(ISERR(1/(VLOOKUP(A19,[1]!TOX,12,FALSE))),0,'[1]Target Risk'!$D$12/('GW-1 Exp'!$J$26*(VLOOKUP(A19,[1]!TOX,33,FALSE))*(VLOOKUP(A19,[1]!TOX,12,FALSE))))</f>
        <v>0</v>
      </c>
      <c r="I19" s="815">
        <f>IF(ISERR(1/(VLOOKUP(A19,[1]!TOX,12,FALSE))),0,IF(VLOOKUP(A19,[1]!TOX,36,FALSE)="M",'[1]Target Risk'!$D$12/(((('GW-1 Exp'!$J$33*(VLOOKUP(A19,[1]!TOX,33,FALSE))*(VLOOKUP(A19,[1]!TOX,12,FALSE))))*10)+((('GW-1 Exp'!$J$34*(VLOOKUP(A19,[1]!TOX,33,FALSE))*(VLOOKUP(A19,[1]!TOX,12,FALSE))))*3)+((('GW-1 Exp'!$J$35*(VLOOKUP(A19,[1]!TOX,33,FALSE))*(VLOOKUP(A19,[1]!TOX,12,FALSE))))*3)+((('GW-1 Exp'!$J$36*(VLOOKUP(A19,[1]!TOX,33,FALSE))*(VLOOKUP(A19,[1]!TOX,12,FALSE))))*1)),'[1]Target Risk'!$D$12/('GW-1 Exp'!$J$26*(VLOOKUP(A19,[1]!TOX,33,FALSE))*(VLOOKUP(A19,[1]!TOX,12,FALSE)))))</f>
        <v>0</v>
      </c>
      <c r="J19" s="812">
        <f t="shared" si="2"/>
        <v>0</v>
      </c>
      <c r="K19" s="812">
        <f t="shared" si="3"/>
        <v>0</v>
      </c>
      <c r="L19" s="815">
        <f t="shared" si="4"/>
        <v>0</v>
      </c>
      <c r="M19" s="816">
        <f>IF(B19&lt;&gt;0,B19,IF((VLOOKUP(A19,[1]!TOX,44,FALSE))=0,O19,MIN(O19,(VLOOKUP(A19,[1]!TOX,44,FALSE)))))</f>
        <v>46.518571886109164</v>
      </c>
      <c r="N19" s="817" t="str">
        <f t="shared" si="5"/>
        <v>Noncancer</v>
      </c>
      <c r="O19" s="818">
        <f t="shared" si="6"/>
        <v>46.518571886109164</v>
      </c>
      <c r="P19" s="582">
        <f>IF($B19&lt;&gt;0,$B19,MIN(M19,(VLOOKUP(A19,[1]!TOX,79,FALSE))))</f>
        <v>46.518571886109164</v>
      </c>
      <c r="Q19" s="819">
        <f>IF($B19&lt;&gt;0,$B19,MAX($P19,(VLOOKUP(A19,[1]!TOX,40,FALSE)),(VLOOKUP(A19,[1]!TOX,51,FALSE))))</f>
        <v>46.518571886109164</v>
      </c>
      <c r="R19" s="820">
        <f t="shared" si="7"/>
        <v>50</v>
      </c>
      <c r="S19" s="821" t="str">
        <f>IF(Q19=M19,N19,IF(Q19=(VLOOKUP(A19,[1]!TOX,40,FALSE)),"Bckgrnd",IF(Q19=(VLOOKUP(A19,[1]!TOX,79,FALSE)),"Ceiling","PQL")))</f>
        <v>Noncancer</v>
      </c>
    </row>
    <row r="20" spans="1:19" s="94" customFormat="1" ht="10" x14ac:dyDescent="0.25">
      <c r="A20" s="619" t="s">
        <v>172</v>
      </c>
      <c r="B20" s="822"/>
      <c r="C20" s="823"/>
      <c r="D20" s="812">
        <f>IF((VLOOKUP(A20,[1]!TOX,4,FALSE))=0,0,('[1]Target Risk'!$D$8*(VLOOKUP(A20,[1]!TOX,4,FALSE))/('GW-1 Exp'!$J$18*(VLOOKUP(A20,[1]!TOX,31,FALSE)))))</f>
        <v>97.31662087912089</v>
      </c>
      <c r="E20" s="812">
        <f t="shared" si="0"/>
        <v>89.531291208791231</v>
      </c>
      <c r="F20" s="812">
        <f t="shared" si="1"/>
        <v>10473.009277409637</v>
      </c>
      <c r="G20" s="813">
        <f t="shared" si="8"/>
        <v>46.42417804057213</v>
      </c>
      <c r="H20" s="814">
        <f>IF(ISERR(1/(VLOOKUP(A20,[1]!TOX,12,FALSE))),0,'[1]Target Risk'!$D$12/('GW-1 Exp'!$J$26*(VLOOKUP(A20,[1]!TOX,33,FALSE))*(VLOOKUP(A20,[1]!TOX,12,FALSE))))</f>
        <v>5.5262220445491277</v>
      </c>
      <c r="I20" s="815">
        <f>IF(ISERR(1/(VLOOKUP(A20,[1]!TOX,12,FALSE))),0,IF(VLOOKUP(A20,[1]!TOX,36,FALSE)="M",'[1]Target Risk'!$D$12/(((('GW-1 Exp'!$J$33*(VLOOKUP(A20,[1]!TOX,33,FALSE))*(VLOOKUP(A20,[1]!TOX,12,FALSE))))*10)+((('GW-1 Exp'!$J$34*(VLOOKUP(A20,[1]!TOX,33,FALSE))*(VLOOKUP(A20,[1]!TOX,12,FALSE))))*3)+((('GW-1 Exp'!$J$35*(VLOOKUP(A20,[1]!TOX,33,FALSE))*(VLOOKUP(A20,[1]!TOX,12,FALSE))))*3)+((('GW-1 Exp'!$J$36*(VLOOKUP(A20,[1]!TOX,33,FALSE))*(VLOOKUP(A20,[1]!TOX,12,FALSE))))*1)),'[1]Target Risk'!$D$12/('GW-1 Exp'!$J$26*(VLOOKUP(A20,[1]!TOX,33,FALSE))*(VLOOKUP(A20,[1]!TOX,12,FALSE)))))</f>
        <v>1.5271954167573876</v>
      </c>
      <c r="J20" s="812">
        <f t="shared" si="2"/>
        <v>1.4050197834167966</v>
      </c>
      <c r="K20" s="812">
        <f t="shared" si="3"/>
        <v>112.77796652961565</v>
      </c>
      <c r="L20" s="815">
        <f t="shared" si="4"/>
        <v>0.72706344868258743</v>
      </c>
      <c r="M20" s="816">
        <f>IF(B20&lt;&gt;0,B20,IF((VLOOKUP(A20,[1]!TOX,44,FALSE))=0,O20,MIN(O20,(VLOOKUP(A20,[1]!TOX,44,FALSE)))))</f>
        <v>0.72706344868258743</v>
      </c>
      <c r="N20" s="817" t="str">
        <f t="shared" si="5"/>
        <v>Cancer</v>
      </c>
      <c r="O20" s="818">
        <f t="shared" si="6"/>
        <v>0.72706344868258743</v>
      </c>
      <c r="P20" s="582">
        <f>IF($B20&lt;&gt;0,$B20,MIN(M20,(VLOOKUP(A20,[1]!TOX,79,FALSE))))</f>
        <v>0.72706344868258743</v>
      </c>
      <c r="Q20" s="819">
        <f>IF($B20&lt;&gt;0,$B20,MAX($P20,(VLOOKUP(A20,[1]!TOX,40,FALSE)),(VLOOKUP(A20,[1]!TOX,51,FALSE))))</f>
        <v>1</v>
      </c>
      <c r="R20" s="820">
        <f t="shared" si="7"/>
        <v>1</v>
      </c>
      <c r="S20" s="821" t="str">
        <f>IF(Q20=M20,N20,IF(Q20=(VLOOKUP(A20,[1]!TOX,40,FALSE)),"Bckgrnd",IF(Q20=(VLOOKUP(A20,[1]!TOX,79,FALSE)),"Ceiling","PQL")))</f>
        <v>PQL</v>
      </c>
    </row>
    <row r="21" spans="1:19" s="94" customFormat="1" ht="10" x14ac:dyDescent="0.25">
      <c r="A21" s="619" t="s">
        <v>173</v>
      </c>
      <c r="B21" s="822">
        <v>4</v>
      </c>
      <c r="C21" s="823" t="s">
        <v>341</v>
      </c>
      <c r="D21" s="812">
        <f>IF((VLOOKUP(A21,[1]!TOX,4,FALSE))=0,0,('[1]Target Risk'!$D$8*(VLOOKUP(A21,[1]!TOX,4,FALSE))/('GW-1 Exp'!$J$18*(VLOOKUP(A21,[1]!TOX,31,FALSE)))))</f>
        <v>6.4877747252747264</v>
      </c>
      <c r="E21" s="812">
        <f t="shared" si="0"/>
        <v>16.61262453852645</v>
      </c>
      <c r="F21" s="812">
        <f t="shared" si="1"/>
        <v>0</v>
      </c>
      <c r="G21" s="813">
        <f t="shared" si="8"/>
        <v>4.6656754444250046</v>
      </c>
      <c r="H21" s="814">
        <f>IF(ISERR(1/(VLOOKUP(A21,[1]!TOX,12,FALSE))),0,'[1]Target Risk'!$D$12/('GW-1 Exp'!$J$26*(VLOOKUP(A21,[1]!TOX,33,FALSE))*(VLOOKUP(A21,[1]!TOX,12,FALSE))))</f>
        <v>0</v>
      </c>
      <c r="I21" s="815">
        <f>IF(ISERR(1/(VLOOKUP(A21,[1]!TOX,12,FALSE))),0,IF(VLOOKUP(A21,[1]!TOX,36,FALSE)="M",'[1]Target Risk'!$D$12/(((('GW-1 Exp'!$J$33*(VLOOKUP(A21,[1]!TOX,33,FALSE))*(VLOOKUP(A21,[1]!TOX,12,FALSE))))*10)+((('GW-1 Exp'!$J$34*(VLOOKUP(A21,[1]!TOX,33,FALSE))*(VLOOKUP(A21,[1]!TOX,12,FALSE))))*3)+((('GW-1 Exp'!$J$35*(VLOOKUP(A21,[1]!TOX,33,FALSE))*(VLOOKUP(A21,[1]!TOX,12,FALSE))))*3)+((('GW-1 Exp'!$J$36*(VLOOKUP(A21,[1]!TOX,33,FALSE))*(VLOOKUP(A21,[1]!TOX,12,FALSE))))*1)),'[1]Target Risk'!$D$12/('GW-1 Exp'!$J$26*(VLOOKUP(A21,[1]!TOX,33,FALSE))*(VLOOKUP(A21,[1]!TOX,12,FALSE)))))</f>
        <v>0</v>
      </c>
      <c r="J21" s="812">
        <f t="shared" si="2"/>
        <v>0</v>
      </c>
      <c r="K21" s="812">
        <f t="shared" si="3"/>
        <v>0</v>
      </c>
      <c r="L21" s="815">
        <f t="shared" si="4"/>
        <v>0</v>
      </c>
      <c r="M21" s="816">
        <f>IF(B21&lt;&gt;0,B21,IF((VLOOKUP(A21,[1]!TOX,44,FALSE))=0,O21,MIN(O21,(VLOOKUP(A21,[1]!TOX,44,FALSE)))))</f>
        <v>4</v>
      </c>
      <c r="N21" s="817" t="str">
        <f t="shared" si="5"/>
        <v>MMCL</v>
      </c>
      <c r="O21" s="818">
        <f t="shared" si="6"/>
        <v>4.6656754444250046</v>
      </c>
      <c r="P21" s="582">
        <f>IF($B21&lt;&gt;0,$B21,MIN(M21,(VLOOKUP(A21,[1]!TOX,79,FALSE))))</f>
        <v>4</v>
      </c>
      <c r="Q21" s="819">
        <f>IF($B21&lt;&gt;0,$B21,MAX($P21,(VLOOKUP(A21,[1]!TOX,40,FALSE)),(VLOOKUP(A21,[1]!TOX,51,FALSE))))</f>
        <v>4</v>
      </c>
      <c r="R21" s="820">
        <f t="shared" si="7"/>
        <v>4</v>
      </c>
      <c r="S21" s="821" t="str">
        <f>IF(Q21=M21,N21,IF(Q21=(VLOOKUP(A21,[1]!TOX,40,FALSE)),"Bckgrnd",IF(Q21=(VLOOKUP(A21,[1]!TOX,79,FALSE)),"Ceiling","PQL")))</f>
        <v>MMCL</v>
      </c>
    </row>
    <row r="22" spans="1:19" s="94" customFormat="1" ht="10" x14ac:dyDescent="0.25">
      <c r="A22" s="619" t="s">
        <v>174</v>
      </c>
      <c r="B22" s="822"/>
      <c r="C22" s="823"/>
      <c r="D22" s="812">
        <f>IF((VLOOKUP(A22,[1]!TOX,4,FALSE))=0,0,('[1]Target Risk'!$D$8*(VLOOKUP(A22,[1]!TOX,4,FALSE))/('GW-1 Exp'!$J$18*(VLOOKUP(A22,[1]!TOX,31,FALSE)))))</f>
        <v>162.19436813186817</v>
      </c>
      <c r="E22" s="812">
        <f t="shared" si="0"/>
        <v>143.48226619274493</v>
      </c>
      <c r="F22" s="812">
        <f t="shared" si="1"/>
        <v>1.572221201302376</v>
      </c>
      <c r="G22" s="813">
        <f t="shared" si="8"/>
        <v>1.5404101325415922</v>
      </c>
      <c r="H22" s="814">
        <f>IF(ISERR(1/(VLOOKUP(A22,[1]!TOX,12,FALSE))),0,'[1]Target Risk'!$D$12/('GW-1 Exp'!$J$26*(VLOOKUP(A22,[1]!TOX,33,FALSE))*(VLOOKUP(A22,[1]!TOX,12,FALSE))))</f>
        <v>6.9077775556864109</v>
      </c>
      <c r="I22" s="815">
        <f>IF(ISERR(1/(VLOOKUP(A22,[1]!TOX,12,FALSE))),0,IF(VLOOKUP(A22,[1]!TOX,36,FALSE)="M",'[1]Target Risk'!$D$12/(((('GW-1 Exp'!$J$33*(VLOOKUP(A22,[1]!TOX,33,FALSE))*(VLOOKUP(A22,[1]!TOX,12,FALSE))))*10)+((('GW-1 Exp'!$J$34*(VLOOKUP(A22,[1]!TOX,33,FALSE))*(VLOOKUP(A22,[1]!TOX,12,FALSE))))*3)+((('GW-1 Exp'!$J$35*(VLOOKUP(A22,[1]!TOX,33,FALSE))*(VLOOKUP(A22,[1]!TOX,12,FALSE))))*3)+((('GW-1 Exp'!$J$36*(VLOOKUP(A22,[1]!TOX,33,FALSE))*(VLOOKUP(A22,[1]!TOX,12,FALSE))))*1)),'[1]Target Risk'!$D$12/('GW-1 Exp'!$J$26*(VLOOKUP(A22,[1]!TOX,33,FALSE))*(VLOOKUP(A22,[1]!TOX,12,FALSE)))))</f>
        <v>6.9077775556864109</v>
      </c>
      <c r="J22" s="812">
        <f t="shared" si="2"/>
        <v>4.3138870647891627</v>
      </c>
      <c r="K22" s="812">
        <f t="shared" si="3"/>
        <v>0</v>
      </c>
      <c r="L22" s="815">
        <f t="shared" si="4"/>
        <v>2.6555215515479924</v>
      </c>
      <c r="M22" s="816">
        <f>IF(B22&lt;&gt;0,B22,IF((VLOOKUP(A22,[1]!TOX,44,FALSE))=0,O22,MIN(O22,(VLOOKUP(A22,[1]!TOX,44,FALSE)))))</f>
        <v>1.5404101325415922</v>
      </c>
      <c r="N22" s="817" t="str">
        <f t="shared" si="5"/>
        <v>Noncancer</v>
      </c>
      <c r="O22" s="818">
        <f t="shared" si="6"/>
        <v>1.5404101325415922</v>
      </c>
      <c r="P22" s="582">
        <f>IF($B22&lt;&gt;0,$B22,MIN(M22,(VLOOKUP(A22,[1]!TOX,79,FALSE))))</f>
        <v>1.5404101325415922</v>
      </c>
      <c r="Q22" s="819">
        <f>IF($B22&lt;&gt;0,$B22,MAX($P22,(VLOOKUP(A22,[1]!TOX,40,FALSE)),(VLOOKUP(A22,[1]!TOX,51,FALSE))))</f>
        <v>1.5404101325415922</v>
      </c>
      <c r="R22" s="820">
        <f t="shared" si="7"/>
        <v>2</v>
      </c>
      <c r="S22" s="821" t="str">
        <f>IF(Q22=M22,N22,IF(Q22=(VLOOKUP(A22,[1]!TOX,40,FALSE)),"Bckgrnd",IF(Q22=(VLOOKUP(A22,[1]!TOX,79,FALSE)),"Ceiling","PQL")))</f>
        <v>Noncancer</v>
      </c>
    </row>
    <row r="23" spans="1:19" s="94" customFormat="1" ht="10" x14ac:dyDescent="0.25">
      <c r="A23" s="619" t="s">
        <v>175</v>
      </c>
      <c r="B23" s="822"/>
      <c r="C23" s="823"/>
      <c r="D23" s="812">
        <f>IF((VLOOKUP(A23,[1]!TOX,4,FALSE))=0,0,('[1]Target Risk'!$D$8*(VLOOKUP(A23,[1]!TOX,4,FALSE))/('GW-1 Exp'!$J$18*(VLOOKUP(A23,[1]!TOX,31,FALSE)))))</f>
        <v>0</v>
      </c>
      <c r="E23" s="812">
        <f t="shared" si="0"/>
        <v>0</v>
      </c>
      <c r="F23" s="812">
        <f t="shared" si="1"/>
        <v>0</v>
      </c>
      <c r="G23" s="813">
        <f t="shared" si="8"/>
        <v>0</v>
      </c>
      <c r="H23" s="814">
        <f>IF(ISERR(1/(VLOOKUP(A23,[1]!TOX,12,FALSE))),0,'[1]Target Risk'!$D$12/('GW-1 Exp'!$J$26*(VLOOKUP(A23,[1]!TOX,33,FALSE))*(VLOOKUP(A23,[1]!TOX,12,FALSE))))</f>
        <v>5.0238382223173894E-2</v>
      </c>
      <c r="I23" s="815">
        <f>IF(ISERR(1/(VLOOKUP(A23,[1]!TOX,12,FALSE))),0,IF(VLOOKUP(A23,[1]!TOX,36,FALSE)="M",'[1]Target Risk'!$D$12/(((('GW-1 Exp'!$J$33*(VLOOKUP(A23,[1]!TOX,33,FALSE))*(VLOOKUP(A23,[1]!TOX,12,FALSE))))*10)+((('GW-1 Exp'!$J$34*(VLOOKUP(A23,[1]!TOX,33,FALSE))*(VLOOKUP(A23,[1]!TOX,12,FALSE))))*3)+((('GW-1 Exp'!$J$35*(VLOOKUP(A23,[1]!TOX,33,FALSE))*(VLOOKUP(A23,[1]!TOX,12,FALSE))))*3)+((('GW-1 Exp'!$J$36*(VLOOKUP(A23,[1]!TOX,33,FALSE))*(VLOOKUP(A23,[1]!TOX,12,FALSE))))*1)),'[1]Target Risk'!$D$12/('GW-1 Exp'!$J$26*(VLOOKUP(A23,[1]!TOX,33,FALSE))*(VLOOKUP(A23,[1]!TOX,12,FALSE)))))</f>
        <v>5.0238382223173894E-2</v>
      </c>
      <c r="J23" s="812">
        <f t="shared" si="2"/>
        <v>1.8973595580130154</v>
      </c>
      <c r="K23" s="812">
        <f t="shared" si="3"/>
        <v>0.12094061337954594</v>
      </c>
      <c r="L23" s="815">
        <f t="shared" si="4"/>
        <v>3.484239366003189E-2</v>
      </c>
      <c r="M23" s="816">
        <f>IF(B23&lt;&gt;0,B23,IF((VLOOKUP(A23,[1]!TOX,44,FALSE))=0,O23,MIN(O23,(VLOOKUP(A23,[1]!TOX,44,FALSE)))))</f>
        <v>3.484239366003189E-2</v>
      </c>
      <c r="N23" s="817" t="str">
        <f t="shared" si="5"/>
        <v>Cancer</v>
      </c>
      <c r="O23" s="818">
        <f t="shared" si="6"/>
        <v>3.484239366003189E-2</v>
      </c>
      <c r="P23" s="582">
        <f>IF($B23&lt;&gt;0,$B23,MIN(M23,(VLOOKUP(A23,[1]!TOX,79,FALSE))))</f>
        <v>3.484239366003189E-2</v>
      </c>
      <c r="Q23" s="819">
        <f>IF($B23&lt;&gt;0,$B23,MAX($P23,(VLOOKUP(A23,[1]!TOX,40,FALSE)),(VLOOKUP(A23,[1]!TOX,51,FALSE))))</f>
        <v>28.5</v>
      </c>
      <c r="R23" s="820">
        <f t="shared" si="7"/>
        <v>30</v>
      </c>
      <c r="S23" s="821" t="str">
        <f>IF(Q23=M23,N23,IF(Q23=(VLOOKUP(A23,[1]!TOX,40,FALSE)),"Bckgrnd",IF(Q23=(VLOOKUP(A23,[1]!TOX,79,FALSE)),"Ceiling","PQL")))</f>
        <v>PQL</v>
      </c>
    </row>
    <row r="24" spans="1:19" s="94" customFormat="1" ht="10" x14ac:dyDescent="0.25">
      <c r="A24" s="619" t="s">
        <v>176</v>
      </c>
      <c r="B24" s="822"/>
      <c r="C24" s="823"/>
      <c r="D24" s="812">
        <f>IF((VLOOKUP(A24,[1]!TOX,4,FALSE))=0,0,('[1]Target Risk'!$D$8*(VLOOKUP(A24,[1]!TOX,4,FALSE))/('GW-1 Exp'!$J$18*(VLOOKUP(A24,[1]!TOX,31,FALSE)))))</f>
        <v>129.75549450549451</v>
      </c>
      <c r="E24" s="812">
        <f t="shared" si="0"/>
        <v>2185.3162244492369</v>
      </c>
      <c r="F24" s="812">
        <f t="shared" si="1"/>
        <v>111.93810465910016</v>
      </c>
      <c r="G24" s="813">
        <f t="shared" si="8"/>
        <v>58.486677700688162</v>
      </c>
      <c r="H24" s="814">
        <f>IF(ISERR(1/(VLOOKUP(A24,[1]!TOX,12,FALSE))),0,'[1]Target Risk'!$D$12/('GW-1 Exp'!$J$26*(VLOOKUP(A24,[1]!TOX,33,FALSE))*(VLOOKUP(A24,[1]!TOX,12,FALSE))))</f>
        <v>0.78946029207844681</v>
      </c>
      <c r="I24" s="815">
        <f>IF(ISERR(1/(VLOOKUP(A24,[1]!TOX,12,FALSE))),0,IF(VLOOKUP(A24,[1]!TOX,36,FALSE)="M",'[1]Target Risk'!$D$12/(((('GW-1 Exp'!$J$33*(VLOOKUP(A24,[1]!TOX,33,FALSE))*(VLOOKUP(A24,[1]!TOX,12,FALSE))))*10)+((('GW-1 Exp'!$J$34*(VLOOKUP(A24,[1]!TOX,33,FALSE))*(VLOOKUP(A24,[1]!TOX,12,FALSE))))*3)+((('GW-1 Exp'!$J$35*(VLOOKUP(A24,[1]!TOX,33,FALSE))*(VLOOKUP(A24,[1]!TOX,12,FALSE))))*3)+((('GW-1 Exp'!$J$36*(VLOOKUP(A24,[1]!TOX,33,FALSE))*(VLOOKUP(A24,[1]!TOX,12,FALSE))))*1)),'[1]Target Risk'!$D$12/('GW-1 Exp'!$J$26*(VLOOKUP(A24,[1]!TOX,33,FALSE))*(VLOOKUP(A24,[1]!TOX,12,FALSE)))))</f>
        <v>0.78946029207844681</v>
      </c>
      <c r="J24" s="812">
        <f t="shared" si="2"/>
        <v>10.429038832456024</v>
      </c>
      <c r="K24" s="812">
        <f t="shared" si="3"/>
        <v>0.54413079054568536</v>
      </c>
      <c r="L24" s="815">
        <f t="shared" si="4"/>
        <v>0.31246409473245707</v>
      </c>
      <c r="M24" s="816">
        <f>IF(B24&lt;&gt;0,B24,IF((VLOOKUP(A24,[1]!TOX,44,FALSE))=0,O24,MIN(O24,(VLOOKUP(A24,[1]!TOX,44,FALSE)))))</f>
        <v>0.31246409473245707</v>
      </c>
      <c r="N24" s="817" t="str">
        <f t="shared" si="5"/>
        <v>Cancer</v>
      </c>
      <c r="O24" s="818">
        <f t="shared" si="6"/>
        <v>0.31246409473245707</v>
      </c>
      <c r="P24" s="582">
        <f>IF($B24&lt;&gt;0,$B24,MIN(M24,(VLOOKUP(A24,[1]!TOX,79,FALSE))))</f>
        <v>0.31246409473245707</v>
      </c>
      <c r="Q24" s="819">
        <f>IF($B24&lt;&gt;0,$B24,MAX($P24,(VLOOKUP(A24,[1]!TOX,40,FALSE)),(VLOOKUP(A24,[1]!TOX,51,FALSE))))</f>
        <v>28.5</v>
      </c>
      <c r="R24" s="820">
        <f t="shared" si="7"/>
        <v>30</v>
      </c>
      <c r="S24" s="821" t="str">
        <f>IF(Q24=M24,N24,IF(Q24=(VLOOKUP(A24,[1]!TOX,40,FALSE)),"Bckgrnd",IF(Q24=(VLOOKUP(A24,[1]!TOX,79,FALSE)),"Ceiling","PQL")))</f>
        <v>PQL</v>
      </c>
    </row>
    <row r="25" spans="1:19" s="94" customFormat="1" ht="10" x14ac:dyDescent="0.25">
      <c r="A25" s="619" t="s">
        <v>177</v>
      </c>
      <c r="B25" s="822">
        <v>6</v>
      </c>
      <c r="C25" s="823" t="s">
        <v>341</v>
      </c>
      <c r="D25" s="812">
        <f>IF((VLOOKUP(A25,[1]!TOX,4,FALSE))=0,0,('[1]Target Risk'!$D$8*(VLOOKUP(A25,[1]!TOX,4,FALSE))/('GW-1 Exp'!$J$18*(VLOOKUP(A25,[1]!TOX,31,FALSE)))))</f>
        <v>64.877747252747255</v>
      </c>
      <c r="E25" s="812">
        <f t="shared" si="0"/>
        <v>64.877747252747255</v>
      </c>
      <c r="F25" s="812">
        <f t="shared" si="1"/>
        <v>3944.3337004792297</v>
      </c>
      <c r="G25" s="813">
        <f t="shared" si="8"/>
        <v>32.174266962920036</v>
      </c>
      <c r="H25" s="814">
        <f>IF(ISERR(1/(VLOOKUP(A25,[1]!TOX,12,FALSE))),0,'[1]Target Risk'!$D$12/('GW-1 Exp'!$J$26*(VLOOKUP(A25,[1]!TOX,33,FALSE))*(VLOOKUP(A25,[1]!TOX,12,FALSE))))</f>
        <v>3.9473014603922345</v>
      </c>
      <c r="I25" s="815">
        <f>IF(ISERR(1/(VLOOKUP(A25,[1]!TOX,12,FALSE))),0,IF(VLOOKUP(A25,[1]!TOX,36,FALSE)="M",'[1]Target Risk'!$D$12/(((('GW-1 Exp'!$J$33*(VLOOKUP(A25,[1]!TOX,33,FALSE))*(VLOOKUP(A25,[1]!TOX,12,FALSE))))*10)+((('GW-1 Exp'!$J$34*(VLOOKUP(A25,[1]!TOX,33,FALSE))*(VLOOKUP(A25,[1]!TOX,12,FALSE))))*3)+((('GW-1 Exp'!$J$35*(VLOOKUP(A25,[1]!TOX,33,FALSE))*(VLOOKUP(A25,[1]!TOX,12,FALSE))))*3)+((('GW-1 Exp'!$J$36*(VLOOKUP(A25,[1]!TOX,33,FALSE))*(VLOOKUP(A25,[1]!TOX,12,FALSE))))*1)),'[1]Target Risk'!$D$12/('GW-1 Exp'!$J$26*(VLOOKUP(A25,[1]!TOX,33,FALSE))*(VLOOKUP(A25,[1]!TOX,12,FALSE)))))</f>
        <v>3.9473014603922345</v>
      </c>
      <c r="J25" s="812">
        <f t="shared" si="2"/>
        <v>3.9473014603922345</v>
      </c>
      <c r="K25" s="812">
        <f t="shared" si="3"/>
        <v>2949.7529648247041</v>
      </c>
      <c r="L25" s="815">
        <f t="shared" si="4"/>
        <v>1.9723310628582695</v>
      </c>
      <c r="M25" s="816">
        <f>IF(B25&lt;&gt;0,B25,IF((VLOOKUP(A25,[1]!TOX,44,FALSE))=0,O25,MIN(O25,(VLOOKUP(A25,[1]!TOX,44,FALSE)))))</f>
        <v>6</v>
      </c>
      <c r="N25" s="817" t="str">
        <f t="shared" si="5"/>
        <v>MMCL</v>
      </c>
      <c r="O25" s="818">
        <f t="shared" si="6"/>
        <v>1.9723310628582695</v>
      </c>
      <c r="P25" s="582">
        <f>IF($B25&lt;&gt;0,$B25,MIN(M25,(VLOOKUP(A25,[1]!TOX,79,FALSE))))</f>
        <v>6</v>
      </c>
      <c r="Q25" s="819">
        <f>IF($B25&lt;&gt;0,$B25,MAX($P25,(VLOOKUP(A25,[1]!TOX,40,FALSE)),(VLOOKUP(A25,[1]!TOX,51,FALSE))))</f>
        <v>6</v>
      </c>
      <c r="R25" s="820">
        <f t="shared" si="7"/>
        <v>6</v>
      </c>
      <c r="S25" s="821" t="str">
        <f>IF(Q25=M25,N25,IF(Q25=(VLOOKUP(A25,[1]!TOX,40,FALSE)),"Bckgrnd",IF(Q25=(VLOOKUP(A25,[1]!TOX,79,FALSE)),"Ceiling","PQL")))</f>
        <v>MMCL</v>
      </c>
    </row>
    <row r="26" spans="1:19" s="94" customFormat="1" ht="10" x14ac:dyDescent="0.25">
      <c r="A26" s="619" t="s">
        <v>178</v>
      </c>
      <c r="B26" s="822"/>
      <c r="C26" s="823"/>
      <c r="D26" s="812">
        <f>IF((VLOOKUP(A26,[1]!TOX,4,FALSE))=0,0,('[1]Target Risk'!$D$8*(VLOOKUP(A26,[1]!TOX,4,FALSE))/('GW-1 Exp'!$J$18*(VLOOKUP(A26,[1]!TOX,31,FALSE)))))</f>
        <v>9.7316620879120901</v>
      </c>
      <c r="E26" s="812">
        <f t="shared" si="0"/>
        <v>182.37930377844302</v>
      </c>
      <c r="F26" s="812">
        <f t="shared" si="1"/>
        <v>5.3738715804585402</v>
      </c>
      <c r="G26" s="813">
        <f t="shared" si="8"/>
        <v>3.3975928420046015</v>
      </c>
      <c r="H26" s="814">
        <f>IF(ISERR(1/(VLOOKUP(A26,[1]!TOX,12,FALSE))),0,'[1]Target Risk'!$D$12/('GW-1 Exp'!$J$26*(VLOOKUP(A26,[1]!TOX,33,FALSE))*(VLOOKUP(A26,[1]!TOX,12,FALSE))))</f>
        <v>0.89132613621760137</v>
      </c>
      <c r="I26" s="815">
        <f>IF(ISERR(1/(VLOOKUP(A26,[1]!TOX,12,FALSE))),0,IF(VLOOKUP(A26,[1]!TOX,36,FALSE)="M",'[1]Target Risk'!$D$12/(((('GW-1 Exp'!$J$33*(VLOOKUP(A26,[1]!TOX,33,FALSE))*(VLOOKUP(A26,[1]!TOX,12,FALSE))))*10)+((('GW-1 Exp'!$J$34*(VLOOKUP(A26,[1]!TOX,33,FALSE))*(VLOOKUP(A26,[1]!TOX,12,FALSE))))*3)+((('GW-1 Exp'!$J$35*(VLOOKUP(A26,[1]!TOX,33,FALSE))*(VLOOKUP(A26,[1]!TOX,12,FALSE))))*3)+((('GW-1 Exp'!$J$36*(VLOOKUP(A26,[1]!TOX,33,FALSE))*(VLOOKUP(A26,[1]!TOX,12,FALSE))))*1)),'[1]Target Risk'!$D$12/('GW-1 Exp'!$J$26*(VLOOKUP(A26,[1]!TOX,33,FALSE))*(VLOOKUP(A26,[1]!TOX,12,FALSE)))))</f>
        <v>0.89132613621760137</v>
      </c>
      <c r="J26" s="812">
        <f t="shared" si="2"/>
        <v>13.102393401956569</v>
      </c>
      <c r="K26" s="812">
        <f t="shared" si="3"/>
        <v>0.206451017259075</v>
      </c>
      <c r="L26" s="815">
        <f t="shared" si="4"/>
        <v>0.1655078441271382</v>
      </c>
      <c r="M26" s="816">
        <f>IF(B26&lt;&gt;0,B26,IF((VLOOKUP(A26,[1]!TOX,44,FALSE))=0,O26,MIN(O26,(VLOOKUP(A26,[1]!TOX,44,FALSE)))))</f>
        <v>0.1655078441271382</v>
      </c>
      <c r="N26" s="817" t="str">
        <f t="shared" si="5"/>
        <v>Cancer</v>
      </c>
      <c r="O26" s="818">
        <f t="shared" si="6"/>
        <v>0.1655078441271382</v>
      </c>
      <c r="P26" s="582">
        <f>IF($B26&lt;&gt;0,$B26,MIN(M26,(VLOOKUP(A26,[1]!TOX,79,FALSE))))</f>
        <v>0.1655078441271382</v>
      </c>
      <c r="Q26" s="819">
        <f>IF($B26&lt;&gt;0,$B26,MAX($P26,(VLOOKUP(A26,[1]!TOX,40,FALSE)),(VLOOKUP(A26,[1]!TOX,51,FALSE))))</f>
        <v>2.5</v>
      </c>
      <c r="R26" s="820">
        <f t="shared" si="7"/>
        <v>3</v>
      </c>
      <c r="S26" s="821" t="str">
        <f>IF(Q26=M26,N26,IF(Q26=(VLOOKUP(A26,[1]!TOX,40,FALSE)),"Bckgrnd",IF(Q26=(VLOOKUP(A26,[1]!TOX,79,FALSE)),"Ceiling","PQL")))</f>
        <v>PQL</v>
      </c>
    </row>
    <row r="27" spans="1:19" s="94" customFormat="1" ht="10" x14ac:dyDescent="0.25">
      <c r="A27" s="619" t="s">
        <v>179</v>
      </c>
      <c r="B27" s="822"/>
      <c r="C27" s="823"/>
      <c r="D27" s="812">
        <f>IF((VLOOKUP(A27,[1]!TOX,4,FALSE))=0,0,('[1]Target Risk'!$D$8*(VLOOKUP(A27,[1]!TOX,4,FALSE))/('GW-1 Exp'!$J$18*(VLOOKUP(A27,[1]!TOX,31,FALSE)))))</f>
        <v>64.877747252747255</v>
      </c>
      <c r="E27" s="812">
        <f t="shared" si="0"/>
        <v>1079.1969969696165</v>
      </c>
      <c r="F27" s="812">
        <f t="shared" si="1"/>
        <v>56.846872177394793</v>
      </c>
      <c r="G27" s="813">
        <f t="shared" si="8"/>
        <v>29.471281339253981</v>
      </c>
      <c r="H27" s="814">
        <f>IF(ISERR(1/(VLOOKUP(A27,[1]!TOX,12,FALSE))),0,'[1]Target Risk'!$D$12/('GW-1 Exp'!$J$26*(VLOOKUP(A27,[1]!TOX,33,FALSE))*(VLOOKUP(A27,[1]!TOX,12,FALSE))))</f>
        <v>6.9952177779102884</v>
      </c>
      <c r="I27" s="815">
        <f>IF(ISERR(1/(VLOOKUP(A27,[1]!TOX,12,FALSE))),0,IF(VLOOKUP(A27,[1]!TOX,36,FALSE)="M",'[1]Target Risk'!$D$12/(((('GW-1 Exp'!$J$33*(VLOOKUP(A27,[1]!TOX,33,FALSE))*(VLOOKUP(A27,[1]!TOX,12,FALSE))))*10)+((('GW-1 Exp'!$J$34*(VLOOKUP(A27,[1]!TOX,33,FALSE))*(VLOOKUP(A27,[1]!TOX,12,FALSE))))*3)+((('GW-1 Exp'!$J$35*(VLOOKUP(A27,[1]!TOX,33,FALSE))*(VLOOKUP(A27,[1]!TOX,12,FALSE))))*3)+((('GW-1 Exp'!$J$36*(VLOOKUP(A27,[1]!TOX,33,FALSE))*(VLOOKUP(A27,[1]!TOX,12,FALSE))))*1)),'[1]Target Risk'!$D$12/('GW-1 Exp'!$J$26*(VLOOKUP(A27,[1]!TOX,33,FALSE))*(VLOOKUP(A27,[1]!TOX,12,FALSE)))))</f>
        <v>6.9952177779102884</v>
      </c>
      <c r="J27" s="812">
        <f t="shared" si="2"/>
        <v>91.270760034483871</v>
      </c>
      <c r="K27" s="812">
        <f t="shared" si="3"/>
        <v>5.0242268166675368</v>
      </c>
      <c r="L27" s="815">
        <f t="shared" si="4"/>
        <v>2.833288048365648</v>
      </c>
      <c r="M27" s="816">
        <f>IF(B27&lt;&gt;0,B27,IF((VLOOKUP(A27,[1]!TOX,44,FALSE))=0,O27,MIN(O27,(VLOOKUP(A27,[1]!TOX,44,FALSE)))))</f>
        <v>2.833288048365648</v>
      </c>
      <c r="N27" s="817" t="str">
        <f t="shared" si="5"/>
        <v>Cancer</v>
      </c>
      <c r="O27" s="818">
        <f t="shared" si="6"/>
        <v>2.833288048365648</v>
      </c>
      <c r="P27" s="582">
        <f>IF($B27&lt;&gt;0,$B27,MIN(M27,(VLOOKUP(A27,[1]!TOX,79,FALSE))))</f>
        <v>2.833288048365648</v>
      </c>
      <c r="Q27" s="819">
        <f>IF($B27&lt;&gt;0,$B27,MAX($P27,(VLOOKUP(A27,[1]!TOX,40,FALSE)),(VLOOKUP(A27,[1]!TOX,51,FALSE))))</f>
        <v>3.5</v>
      </c>
      <c r="R27" s="820">
        <f t="shared" si="7"/>
        <v>4</v>
      </c>
      <c r="S27" s="821" t="str">
        <f>IF(Q27=M27,N27,IF(Q27=(VLOOKUP(A27,[1]!TOX,40,FALSE)),"Bckgrnd",IF(Q27=(VLOOKUP(A27,[1]!TOX,79,FALSE)),"Ceiling","PQL")))</f>
        <v>PQL</v>
      </c>
    </row>
    <row r="28" spans="1:19" s="94" customFormat="1" ht="10" x14ac:dyDescent="0.25">
      <c r="A28" s="619" t="s">
        <v>180</v>
      </c>
      <c r="B28" s="822">
        <v>10</v>
      </c>
      <c r="C28" s="823" t="s">
        <v>342</v>
      </c>
      <c r="D28" s="812">
        <f>IF((VLOOKUP(A28,[1]!TOX,4,FALSE))=0,0,('[1]Target Risk'!$D$8*(VLOOKUP(A28,[1]!TOX,4,FALSE))/('GW-1 Exp'!$J$18*(VLOOKUP(A28,[1]!TOX,31,FALSE)))))</f>
        <v>4.5414423076923089</v>
      </c>
      <c r="E28" s="812">
        <f t="shared" si="0"/>
        <v>0</v>
      </c>
      <c r="F28" s="812">
        <f t="shared" si="1"/>
        <v>2.0496880389680872</v>
      </c>
      <c r="G28" s="813">
        <f>IF(AND(D28=0,E28=0),F28,IF(AND(E28=0,F28=0),D28,IF(AND(D28=0,F28=0),E28,IF(E28=0,1/((1/D28)+(1/F28)),IF(D28=0,1/((1/E28)+(1/F28)),IF(F28=0,1/((1/D28)+(1/E28)),1/((1/D28)+(1/E28)+(1/F28))))))))</f>
        <v>1.412282793414489</v>
      </c>
      <c r="H28" s="814">
        <f>IF(ISERR(1/(VLOOKUP(A28,[1]!TOX,12,FALSE))),0,'[1]Target Risk'!$D$12/('GW-1 Exp'!$J$26*(VLOOKUP(A28,[1]!TOX,33,FALSE))*(VLOOKUP(A28,[1]!TOX,12,FALSE))))</f>
        <v>0</v>
      </c>
      <c r="I28" s="815">
        <f>IF(ISERR(1/(VLOOKUP(A28,[1]!TOX,12,FALSE))),0,IF(VLOOKUP(A28,[1]!TOX,36,FALSE)="M",'[1]Target Risk'!$D$12/(((('GW-1 Exp'!$J$33*(VLOOKUP(A28,[1]!TOX,33,FALSE))*(VLOOKUP(A28,[1]!TOX,12,FALSE))))*10)+((('GW-1 Exp'!$J$34*(VLOOKUP(A28,[1]!TOX,33,FALSE))*(VLOOKUP(A28,[1]!TOX,12,FALSE))))*3)+((('GW-1 Exp'!$J$35*(VLOOKUP(A28,[1]!TOX,33,FALSE))*(VLOOKUP(A28,[1]!TOX,12,FALSE))))*3)+((('GW-1 Exp'!$J$36*(VLOOKUP(A28,[1]!TOX,33,FALSE))*(VLOOKUP(A28,[1]!TOX,12,FALSE))))*1)),'[1]Target Risk'!$D$12/('GW-1 Exp'!$J$26*(VLOOKUP(A28,[1]!TOX,33,FALSE))*(VLOOKUP(A28,[1]!TOX,12,FALSE)))))</f>
        <v>0</v>
      </c>
      <c r="J28" s="812">
        <f t="shared" si="2"/>
        <v>0</v>
      </c>
      <c r="K28" s="812">
        <f t="shared" si="3"/>
        <v>0</v>
      </c>
      <c r="L28" s="815">
        <f t="shared" si="4"/>
        <v>0</v>
      </c>
      <c r="M28" s="816">
        <f>IF(B28&lt;&gt;0,B28,IF((VLOOKUP(A28,[1]!TOX,44,FALSE))=0,O28,MIN(O28,(VLOOKUP(A28,[1]!TOX,44,FALSE)))))</f>
        <v>10</v>
      </c>
      <c r="N28" s="817" t="str">
        <f t="shared" si="5"/>
        <v>ORSGL</v>
      </c>
      <c r="O28" s="818">
        <f t="shared" si="6"/>
        <v>1.412282793414489</v>
      </c>
      <c r="P28" s="582">
        <f>IF($B28&lt;&gt;0,$B28,MIN(M28,(VLOOKUP(A28,[1]!TOX,79,FALSE))))</f>
        <v>10</v>
      </c>
      <c r="Q28" s="819">
        <f>IF($B28&lt;&gt;0,$B28,MAX($P28,(VLOOKUP(A28,[1]!TOX,40,FALSE)),(VLOOKUP(A28,[1]!TOX,51,FALSE))))</f>
        <v>10</v>
      </c>
      <c r="R28" s="820">
        <f t="shared" si="7"/>
        <v>10</v>
      </c>
      <c r="S28" s="821" t="str">
        <f>IF(Q28=M28,N28,IF(Q28=(VLOOKUP(A28,[1]!TOX,40,FALSE)),"Bckgrnd",IF(Q28=(VLOOKUP(A28,[1]!TOX,79,FALSE)),"Ceiling","PQL")))</f>
        <v>ORSGL</v>
      </c>
    </row>
    <row r="29" spans="1:19" s="94" customFormat="1" ht="10" x14ac:dyDescent="0.25">
      <c r="A29" s="619" t="s">
        <v>181</v>
      </c>
      <c r="B29" s="822">
        <v>5</v>
      </c>
      <c r="C29" s="823" t="s">
        <v>341</v>
      </c>
      <c r="D29" s="812">
        <f>IF((VLOOKUP(A29,[1]!TOX,4,FALSE))=0,0,('[1]Target Risk'!$D$8*(VLOOKUP(A29,[1]!TOX,4,FALSE))/('GW-1 Exp'!$J$18*(VLOOKUP(A29,[1]!TOX,31,FALSE)))))</f>
        <v>1.6219436813186816</v>
      </c>
      <c r="E29" s="812">
        <f t="shared" si="0"/>
        <v>29.072092942421289</v>
      </c>
      <c r="F29" s="812">
        <f t="shared" si="1"/>
        <v>0</v>
      </c>
      <c r="G29" s="813">
        <f t="shared" si="8"/>
        <v>1.536236436695962</v>
      </c>
      <c r="H29" s="814">
        <f>IF(ISERR(1/(VLOOKUP(A29,[1]!TOX,12,FALSE))),0,'[1]Target Risk'!$D$12/('GW-1 Exp'!$J$26*(VLOOKUP(A29,[1]!TOX,33,FALSE))*(VLOOKUP(A29,[1]!TOX,12,FALSE))))</f>
        <v>0</v>
      </c>
      <c r="I29" s="815">
        <f>IF(ISERR(1/(VLOOKUP(A29,[1]!TOX,12,FALSE))),0,IF(VLOOKUP(A29,[1]!TOX,36,FALSE)="M",'[1]Target Risk'!$D$12/(((('GW-1 Exp'!$J$33*(VLOOKUP(A29,[1]!TOX,33,FALSE))*(VLOOKUP(A29,[1]!TOX,12,FALSE))))*10)+((('GW-1 Exp'!$J$34*(VLOOKUP(A29,[1]!TOX,33,FALSE))*(VLOOKUP(A29,[1]!TOX,12,FALSE))))*3)+((('GW-1 Exp'!$J$35*(VLOOKUP(A29,[1]!TOX,33,FALSE))*(VLOOKUP(A29,[1]!TOX,12,FALSE))))*3)+((('GW-1 Exp'!$J$36*(VLOOKUP(A29,[1]!TOX,33,FALSE))*(VLOOKUP(A29,[1]!TOX,12,FALSE))))*1)),'[1]Target Risk'!$D$12/('GW-1 Exp'!$J$26*(VLOOKUP(A29,[1]!TOX,33,FALSE))*(VLOOKUP(A29,[1]!TOX,12,FALSE)))))</f>
        <v>0</v>
      </c>
      <c r="J29" s="812">
        <f t="shared" si="2"/>
        <v>0</v>
      </c>
      <c r="K29" s="812">
        <f t="shared" si="3"/>
        <v>0</v>
      </c>
      <c r="L29" s="815">
        <f t="shared" si="4"/>
        <v>0</v>
      </c>
      <c r="M29" s="816">
        <f>IF(B29&lt;&gt;0,B29,IF((VLOOKUP(A29,[1]!TOX,44,FALSE))=0,O29,MIN(O29,(VLOOKUP(A29,[1]!TOX,44,FALSE)))))</f>
        <v>5</v>
      </c>
      <c r="N29" s="817" t="str">
        <f t="shared" si="5"/>
        <v>MMCL</v>
      </c>
      <c r="O29" s="818">
        <f t="shared" si="6"/>
        <v>1.536236436695962</v>
      </c>
      <c r="P29" s="582">
        <f>IF($B29&lt;&gt;0,$B29,MIN(M29,(VLOOKUP(A29,[1]!TOX,79,FALSE))))</f>
        <v>5</v>
      </c>
      <c r="Q29" s="819">
        <f>IF($B29&lt;&gt;0,$B29,MAX($P29,(VLOOKUP(A29,[1]!TOX,40,FALSE)),(VLOOKUP(A29,[1]!TOX,51,FALSE))))</f>
        <v>5</v>
      </c>
      <c r="R29" s="820">
        <f t="shared" si="7"/>
        <v>5</v>
      </c>
      <c r="S29" s="821" t="str">
        <f>IF(Q29=M29,N29,IF(Q29=(VLOOKUP(A29,[1]!TOX,40,FALSE)),"Bckgrnd",IF(Q29=(VLOOKUP(A29,[1]!TOX,79,FALSE)),"Ceiling","PQL")))</f>
        <v>MMCL</v>
      </c>
    </row>
    <row r="30" spans="1:19" s="94" customFormat="1" ht="10" x14ac:dyDescent="0.25">
      <c r="A30" s="619" t="s">
        <v>182</v>
      </c>
      <c r="B30" s="822">
        <v>5</v>
      </c>
      <c r="C30" s="823" t="s">
        <v>341</v>
      </c>
      <c r="D30" s="812">
        <f>IF((VLOOKUP(A30,[1]!TOX,4,FALSE))=0,0,('[1]Target Risk'!$D$8*(VLOOKUP(A30,[1]!TOX,4,FALSE))/('GW-1 Exp'!$J$18*(VLOOKUP(A30,[1]!TOX,31,FALSE)))))</f>
        <v>12.975549450549453</v>
      </c>
      <c r="E30" s="812">
        <f t="shared" si="0"/>
        <v>65.90042484485501</v>
      </c>
      <c r="F30" s="812">
        <f t="shared" si="1"/>
        <v>48.315915281774735</v>
      </c>
      <c r="G30" s="813">
        <f t="shared" si="8"/>
        <v>8.8542941604573961</v>
      </c>
      <c r="H30" s="814">
        <f>IF(ISERR(1/(VLOOKUP(A30,[1]!TOX,12,FALSE))),0,'[1]Target Risk'!$D$12/('GW-1 Exp'!$J$26*(VLOOKUP(A30,[1]!TOX,33,FALSE))*(VLOOKUP(A30,[1]!TOX,12,FALSE))))</f>
        <v>0.78946029207844681</v>
      </c>
      <c r="I30" s="815">
        <f>IF(ISERR(1/(VLOOKUP(A30,[1]!TOX,12,FALSE))),0,IF(VLOOKUP(A30,[1]!TOX,36,FALSE)="M",'[1]Target Risk'!$D$12/(((('GW-1 Exp'!$J$33*(VLOOKUP(A30,[1]!TOX,33,FALSE))*(VLOOKUP(A30,[1]!TOX,12,FALSE))))*10)+((('GW-1 Exp'!$J$34*(VLOOKUP(A30,[1]!TOX,33,FALSE))*(VLOOKUP(A30,[1]!TOX,12,FALSE))))*3)+((('GW-1 Exp'!$J$35*(VLOOKUP(A30,[1]!TOX,33,FALSE))*(VLOOKUP(A30,[1]!TOX,12,FALSE))))*3)+((('GW-1 Exp'!$J$36*(VLOOKUP(A30,[1]!TOX,33,FALSE))*(VLOOKUP(A30,[1]!TOX,12,FALSE))))*1)),'[1]Target Risk'!$D$12/('GW-1 Exp'!$J$26*(VLOOKUP(A30,[1]!TOX,33,FALSE))*(VLOOKUP(A30,[1]!TOX,12,FALSE)))))</f>
        <v>0.78946029207844681</v>
      </c>
      <c r="J30" s="812">
        <f t="shared" si="2"/>
        <v>3.1449823238078816</v>
      </c>
      <c r="K30" s="812">
        <f t="shared" si="3"/>
        <v>0.54801487782892067</v>
      </c>
      <c r="L30" s="815">
        <f t="shared" si="4"/>
        <v>0.29330476653292459</v>
      </c>
      <c r="M30" s="816">
        <f>IF(B30&lt;&gt;0,B30,IF((VLOOKUP(A30,[1]!TOX,44,FALSE))=0,O30,MIN(O30,(VLOOKUP(A30,[1]!TOX,44,FALSE)))))</f>
        <v>5</v>
      </c>
      <c r="N30" s="817" t="str">
        <f t="shared" si="5"/>
        <v>MMCL</v>
      </c>
      <c r="O30" s="818">
        <f t="shared" si="6"/>
        <v>0.29330476653292459</v>
      </c>
      <c r="P30" s="582">
        <f>IF($B30&lt;&gt;0,$B30,MIN(M30,(VLOOKUP(A30,[1]!TOX,79,FALSE))))</f>
        <v>5</v>
      </c>
      <c r="Q30" s="819">
        <f>IF($B30&lt;&gt;0,$B30,MAX($P30,(VLOOKUP(A30,[1]!TOX,40,FALSE)),(VLOOKUP(A30,[1]!TOX,51,FALSE))))</f>
        <v>5</v>
      </c>
      <c r="R30" s="820">
        <f t="shared" si="7"/>
        <v>5</v>
      </c>
      <c r="S30" s="821" t="str">
        <f>IF(Q30=M30,N30,IF(Q30=(VLOOKUP(A30,[1]!TOX,40,FALSE)),"Bckgrnd",IF(Q30=(VLOOKUP(A30,[1]!TOX,79,FALSE)),"Ceiling","PQL")))</f>
        <v>MMCL</v>
      </c>
    </row>
    <row r="31" spans="1:19" s="94" customFormat="1" ht="10" x14ac:dyDescent="0.25">
      <c r="A31" s="619" t="s">
        <v>183</v>
      </c>
      <c r="B31" s="822">
        <v>2</v>
      </c>
      <c r="C31" s="823" t="s">
        <v>341</v>
      </c>
      <c r="D31" s="812">
        <f>IF((VLOOKUP(A31,[1]!TOX,4,FALSE))=0,0,('[1]Target Risk'!$D$8*(VLOOKUP(A31,[1]!TOX,4,FALSE))/('GW-1 Exp'!$J$18*(VLOOKUP(A31,[1]!TOX,31,FALSE)))))</f>
        <v>1.6219436813186816</v>
      </c>
      <c r="E31" s="812">
        <f t="shared" si="0"/>
        <v>6.4877747252747264</v>
      </c>
      <c r="F31" s="812">
        <f t="shared" si="1"/>
        <v>2.0491192728198553</v>
      </c>
      <c r="G31" s="813">
        <f t="shared" si="8"/>
        <v>0.79447375883010574</v>
      </c>
      <c r="H31" s="814">
        <f>IF(ISERR(1/(VLOOKUP(A31,[1]!TOX,12,FALSE))),0,'[1]Target Risk'!$D$12/('GW-1 Exp'!$J$26*(VLOOKUP(A31,[1]!TOX,33,FALSE))*(VLOOKUP(A31,[1]!TOX,12,FALSE))))</f>
        <v>0.1578920584156894</v>
      </c>
      <c r="I31" s="815">
        <f>IF(ISERR(1/(VLOOKUP(A31,[1]!TOX,12,FALSE))),0,IF(VLOOKUP(A31,[1]!TOX,36,FALSE)="M",'[1]Target Risk'!$D$12/(((('GW-1 Exp'!$J$33*(VLOOKUP(A31,[1]!TOX,33,FALSE))*(VLOOKUP(A31,[1]!TOX,12,FALSE))))*10)+((('GW-1 Exp'!$J$34*(VLOOKUP(A31,[1]!TOX,33,FALSE))*(VLOOKUP(A31,[1]!TOX,12,FALSE))))*3)+((('GW-1 Exp'!$J$35*(VLOOKUP(A31,[1]!TOX,33,FALSE))*(VLOOKUP(A31,[1]!TOX,12,FALSE))))*3)+((('GW-1 Exp'!$J$36*(VLOOKUP(A31,[1]!TOX,33,FALSE))*(VLOOKUP(A31,[1]!TOX,12,FALSE))))*1)),'[1]Target Risk'!$D$12/('GW-1 Exp'!$J$26*(VLOOKUP(A31,[1]!TOX,33,FALSE))*(VLOOKUP(A31,[1]!TOX,12,FALSE)))))</f>
        <v>0.1578920584156894</v>
      </c>
      <c r="J31" s="812">
        <f t="shared" si="2"/>
        <v>0.63156823366275761</v>
      </c>
      <c r="K31" s="812">
        <f t="shared" si="3"/>
        <v>0.19921525261437831</v>
      </c>
      <c r="L31" s="815">
        <f t="shared" si="4"/>
        <v>7.7300679272873651E-2</v>
      </c>
      <c r="M31" s="816">
        <f>IF(B31&lt;&gt;0,B31,IF((VLOOKUP(A31,[1]!TOX,44,FALSE))=0,O31,MIN(O31,(VLOOKUP(A31,[1]!TOX,44,FALSE)))))</f>
        <v>2</v>
      </c>
      <c r="N31" s="817" t="str">
        <f t="shared" si="5"/>
        <v>MMCL</v>
      </c>
      <c r="O31" s="818">
        <f t="shared" si="6"/>
        <v>7.7300679272873651E-2</v>
      </c>
      <c r="P31" s="582">
        <f>IF($B31&lt;&gt;0,$B31,MIN(M31,(VLOOKUP(A31,[1]!TOX,79,FALSE))))</f>
        <v>2</v>
      </c>
      <c r="Q31" s="819">
        <f>IF($B31&lt;&gt;0,$B31,MAX($P31,(VLOOKUP(A31,[1]!TOX,40,FALSE)),(VLOOKUP(A31,[1]!TOX,51,FALSE))))</f>
        <v>2</v>
      </c>
      <c r="R31" s="820">
        <f t="shared" si="7"/>
        <v>2</v>
      </c>
      <c r="S31" s="821" t="str">
        <f>IF(Q31=M31,N31,IF(Q31=(VLOOKUP(A31,[1]!TOX,40,FALSE)),"Bckgrnd",IF(Q31=(VLOOKUP(A31,[1]!TOX,79,FALSE)),"Ceiling","PQL")))</f>
        <v>MMCL</v>
      </c>
    </row>
    <row r="32" spans="1:19" s="94" customFormat="1" ht="10" x14ac:dyDescent="0.25">
      <c r="A32" s="619" t="s">
        <v>184</v>
      </c>
      <c r="B32" s="822"/>
      <c r="C32" s="823"/>
      <c r="D32" s="812">
        <f>IF((VLOOKUP(A32,[1]!TOX,4,FALSE))=0,0,('[1]Target Risk'!$D$8*(VLOOKUP(A32,[1]!TOX,4,FALSE))/('GW-1 Exp'!$J$18*(VLOOKUP(A32,[1]!TOX,31,FALSE)))))</f>
        <v>1.6219436813186816</v>
      </c>
      <c r="E32" s="812">
        <f t="shared" si="0"/>
        <v>31.841845253073348</v>
      </c>
      <c r="F32" s="812">
        <f t="shared" si="1"/>
        <v>150.77346558518155</v>
      </c>
      <c r="G32" s="813">
        <f t="shared" si="8"/>
        <v>1.5276927133003817</v>
      </c>
      <c r="H32" s="814">
        <f>IF(ISERR(1/(VLOOKUP(A32,[1]!TOX,12,FALSE))),0,'[1]Target Risk'!$D$12/('GW-1 Exp'!$J$26*(VLOOKUP(A32,[1]!TOX,33,FALSE))*(VLOOKUP(A32,[1]!TOX,12,FALSE))))</f>
        <v>0.27631110222745642</v>
      </c>
      <c r="I32" s="815">
        <f>IF(ISERR(1/(VLOOKUP(A32,[1]!TOX,12,FALSE))),0,IF(VLOOKUP(A32,[1]!TOX,36,FALSE)="M",'[1]Target Risk'!$D$12/(((('GW-1 Exp'!$J$33*(VLOOKUP(A32,[1]!TOX,33,FALSE))*(VLOOKUP(A32,[1]!TOX,12,FALSE))))*10)+((('GW-1 Exp'!$J$34*(VLOOKUP(A32,[1]!TOX,33,FALSE))*(VLOOKUP(A32,[1]!TOX,12,FALSE))))*3)+((('GW-1 Exp'!$J$35*(VLOOKUP(A32,[1]!TOX,33,FALSE))*(VLOOKUP(A32,[1]!TOX,12,FALSE))))*3)+((('GW-1 Exp'!$J$36*(VLOOKUP(A32,[1]!TOX,33,FALSE))*(VLOOKUP(A32,[1]!TOX,12,FALSE))))*1)),'[1]Target Risk'!$D$12/('GW-1 Exp'!$J$26*(VLOOKUP(A32,[1]!TOX,33,FALSE))*(VLOOKUP(A32,[1]!TOX,12,FALSE)))))</f>
        <v>0.27631110222745642</v>
      </c>
      <c r="J32" s="812">
        <f t="shared" si="2"/>
        <v>4.2548695854310221</v>
      </c>
      <c r="K32" s="812">
        <f t="shared" si="3"/>
        <v>0</v>
      </c>
      <c r="L32" s="815">
        <f t="shared" si="4"/>
        <v>0.25946166927014808</v>
      </c>
      <c r="M32" s="816">
        <f>IF(B32&lt;&gt;0,B32,IF((VLOOKUP(A32,[1]!TOX,44,FALSE))=0,O32,MIN(O32,(VLOOKUP(A32,[1]!TOX,44,FALSE)))))</f>
        <v>0.25946166927014808</v>
      </c>
      <c r="N32" s="817" t="str">
        <f t="shared" si="5"/>
        <v>Cancer</v>
      </c>
      <c r="O32" s="818">
        <f t="shared" si="6"/>
        <v>0.25946166927014808</v>
      </c>
      <c r="P32" s="582">
        <f>IF($B32&lt;&gt;0,$B32,MIN(M32,(VLOOKUP(A32,[1]!TOX,79,FALSE))))</f>
        <v>0.25946166927014808</v>
      </c>
      <c r="Q32" s="819">
        <f>IF($B32&lt;&gt;0,$B32,MAX($P32,(VLOOKUP(A32,[1]!TOX,40,FALSE)),(VLOOKUP(A32,[1]!TOX,51,FALSE))))</f>
        <v>20</v>
      </c>
      <c r="R32" s="820">
        <f t="shared" si="7"/>
        <v>20</v>
      </c>
      <c r="S32" s="821" t="str">
        <f>IF(Q32=M32,N32,IF(Q32=(VLOOKUP(A32,[1]!TOX,40,FALSE)),"Bckgrnd",IF(Q32=(VLOOKUP(A32,[1]!TOX,79,FALSE)),"Ceiling","PQL")))</f>
        <v>PQL</v>
      </c>
    </row>
    <row r="33" spans="1:19" s="94" customFormat="1" ht="10" x14ac:dyDescent="0.25">
      <c r="A33" s="619" t="s">
        <v>185</v>
      </c>
      <c r="B33" s="822">
        <v>100</v>
      </c>
      <c r="C33" s="823" t="s">
        <v>341</v>
      </c>
      <c r="D33" s="812">
        <f>IF((VLOOKUP(A33,[1]!TOX,4,FALSE))=0,0,('[1]Target Risk'!$D$8*(VLOOKUP(A33,[1]!TOX,4,FALSE))/('GW-1 Exp'!$J$18*(VLOOKUP(A33,[1]!TOX,31,FALSE)))))</f>
        <v>64.877747252747255</v>
      </c>
      <c r="E33" s="812">
        <f t="shared" si="0"/>
        <v>249.14846666487071</v>
      </c>
      <c r="F33" s="812">
        <f t="shared" si="1"/>
        <v>22.600676080044924</v>
      </c>
      <c r="G33" s="813">
        <f t="shared" si="8"/>
        <v>15.70506132406139</v>
      </c>
      <c r="H33" s="814">
        <f>IF(ISERR(1/(VLOOKUP(A33,[1]!TOX,12,FALSE))),0,'[1]Target Risk'!$D$12/('GW-1 Exp'!$J$26*(VLOOKUP(A33,[1]!TOX,33,FALSE))*(VLOOKUP(A33,[1]!TOX,12,FALSE))))</f>
        <v>0</v>
      </c>
      <c r="I33" s="815">
        <f>IF(ISERR(1/(VLOOKUP(A33,[1]!TOX,12,FALSE))),0,IF(VLOOKUP(A33,[1]!TOX,36,FALSE)="M",'[1]Target Risk'!$D$12/(((('GW-1 Exp'!$J$33*(VLOOKUP(A33,[1]!TOX,33,FALSE))*(VLOOKUP(A33,[1]!TOX,12,FALSE))))*10)+((('GW-1 Exp'!$J$34*(VLOOKUP(A33,[1]!TOX,33,FALSE))*(VLOOKUP(A33,[1]!TOX,12,FALSE))))*3)+((('GW-1 Exp'!$J$35*(VLOOKUP(A33,[1]!TOX,33,FALSE))*(VLOOKUP(A33,[1]!TOX,12,FALSE))))*3)+((('GW-1 Exp'!$J$36*(VLOOKUP(A33,[1]!TOX,33,FALSE))*(VLOOKUP(A33,[1]!TOX,12,FALSE))))*1)),'[1]Target Risk'!$D$12/('GW-1 Exp'!$J$26*(VLOOKUP(A33,[1]!TOX,33,FALSE))*(VLOOKUP(A33,[1]!TOX,12,FALSE)))))</f>
        <v>0</v>
      </c>
      <c r="J33" s="812">
        <f t="shared" si="2"/>
        <v>0</v>
      </c>
      <c r="K33" s="812">
        <f t="shared" si="3"/>
        <v>0</v>
      </c>
      <c r="L33" s="815">
        <f t="shared" si="4"/>
        <v>0</v>
      </c>
      <c r="M33" s="816">
        <f>IF(B33&lt;&gt;0,B33,IF((VLOOKUP(A33,[1]!TOX,44,FALSE))=0,O33,MIN(O33,(VLOOKUP(A33,[1]!TOX,44,FALSE)))))</f>
        <v>100</v>
      </c>
      <c r="N33" s="817" t="str">
        <f t="shared" si="5"/>
        <v>MMCL</v>
      </c>
      <c r="O33" s="818">
        <f t="shared" si="6"/>
        <v>15.70506132406139</v>
      </c>
      <c r="P33" s="582">
        <f>IF($B33&lt;&gt;0,$B33,MIN(M33,(VLOOKUP(A33,[1]!TOX,79,FALSE))))</f>
        <v>100</v>
      </c>
      <c r="Q33" s="819">
        <f>IF($B33&lt;&gt;0,$B33,MAX($P33,(VLOOKUP(A33,[1]!TOX,40,FALSE)),(VLOOKUP(A33,[1]!TOX,51,FALSE))))</f>
        <v>100</v>
      </c>
      <c r="R33" s="820">
        <f t="shared" si="7"/>
        <v>100</v>
      </c>
      <c r="S33" s="821" t="str">
        <f>IF(Q33=M33,N33,IF(Q33=(VLOOKUP(A33,[1]!TOX,40,FALSE)),"Bckgrnd",IF(Q33=(VLOOKUP(A33,[1]!TOX,79,FALSE)),"Ceiling","PQL")))</f>
        <v>MMCL</v>
      </c>
    </row>
    <row r="34" spans="1:19" s="94" customFormat="1" ht="10" x14ac:dyDescent="0.25">
      <c r="A34" s="619" t="s">
        <v>186</v>
      </c>
      <c r="B34" s="822">
        <v>70</v>
      </c>
      <c r="C34" s="823" t="s">
        <v>342</v>
      </c>
      <c r="D34" s="812">
        <f>IF((VLOOKUP(A34,[1]!TOX,4,FALSE))=0,0,('[1]Target Risk'!$D$8*(VLOOKUP(A34,[1]!TOX,4,FALSE))/('GW-1 Exp'!$J$18*(VLOOKUP(A34,[1]!TOX,31,FALSE)))))</f>
        <v>32.438873626373628</v>
      </c>
      <c r="E34" s="812">
        <f t="shared" si="0"/>
        <v>485.76724034357153</v>
      </c>
      <c r="F34" s="812">
        <f t="shared" si="1"/>
        <v>301.63619682631577</v>
      </c>
      <c r="G34" s="813">
        <f t="shared" si="8"/>
        <v>27.623498987278353</v>
      </c>
      <c r="H34" s="814">
        <f>IF(ISERR(1/(VLOOKUP(A34,[1]!TOX,12,FALSE))),0,'[1]Target Risk'!$D$12/('GW-1 Exp'!$J$26*(VLOOKUP(A34,[1]!TOX,33,FALSE))*(VLOOKUP(A34,[1]!TOX,12,FALSE))))</f>
        <v>0</v>
      </c>
      <c r="I34" s="815">
        <f>IF(ISERR(1/(VLOOKUP(A34,[1]!TOX,12,FALSE))),0,IF(VLOOKUP(A34,[1]!TOX,36,FALSE)="M",'[1]Target Risk'!$D$12/(((('GW-1 Exp'!$J$33*(VLOOKUP(A34,[1]!TOX,33,FALSE))*(VLOOKUP(A34,[1]!TOX,12,FALSE))))*10)+((('GW-1 Exp'!$J$34*(VLOOKUP(A34,[1]!TOX,33,FALSE))*(VLOOKUP(A34,[1]!TOX,12,FALSE))))*3)+((('GW-1 Exp'!$J$35*(VLOOKUP(A34,[1]!TOX,33,FALSE))*(VLOOKUP(A34,[1]!TOX,12,FALSE))))*3)+((('GW-1 Exp'!$J$36*(VLOOKUP(A34,[1]!TOX,33,FALSE))*(VLOOKUP(A34,[1]!TOX,12,FALSE))))*1)),'[1]Target Risk'!$D$12/('GW-1 Exp'!$J$26*(VLOOKUP(A34,[1]!TOX,33,FALSE))*(VLOOKUP(A34,[1]!TOX,12,FALSE)))))</f>
        <v>0</v>
      </c>
      <c r="J34" s="812">
        <f t="shared" si="2"/>
        <v>0</v>
      </c>
      <c r="K34" s="812">
        <f t="shared" si="3"/>
        <v>0.13522751683441808</v>
      </c>
      <c r="L34" s="815">
        <f t="shared" si="4"/>
        <v>0.13522751683441808</v>
      </c>
      <c r="M34" s="816">
        <f>IF(B34&lt;&gt;0,B34,IF((VLOOKUP(A34,[1]!TOX,44,FALSE))=0,O34,MIN(O34,(VLOOKUP(A34,[1]!TOX,44,FALSE)))))</f>
        <v>70</v>
      </c>
      <c r="N34" s="817" t="str">
        <f t="shared" si="5"/>
        <v>ORSGL</v>
      </c>
      <c r="O34" s="818">
        <f t="shared" si="6"/>
        <v>0.13522751683441808</v>
      </c>
      <c r="P34" s="582">
        <f>IF($B34&lt;&gt;0,$B34,MIN(M34,(VLOOKUP(A34,[1]!TOX,79,FALSE))))</f>
        <v>70</v>
      </c>
      <c r="Q34" s="819">
        <f>IF($B34&lt;&gt;0,$B34,MAX($P34,(VLOOKUP(A34,[1]!TOX,40,FALSE)),(VLOOKUP(A34,[1]!TOX,51,FALSE))))</f>
        <v>70</v>
      </c>
      <c r="R34" s="820">
        <f t="shared" si="7"/>
        <v>70</v>
      </c>
      <c r="S34" s="821" t="str">
        <f>IF(Q34=M34,N34,IF(Q34=(VLOOKUP(A34,[1]!TOX,40,FALSE)),"Bckgrnd",IF(Q34=(VLOOKUP(A34,[1]!TOX,79,FALSE)),"Ceiling","PQL")))</f>
        <v>ORSGL</v>
      </c>
    </row>
    <row r="35" spans="1:19" s="94" customFormat="1" ht="10" x14ac:dyDescent="0.25">
      <c r="A35" s="619" t="s">
        <v>187</v>
      </c>
      <c r="B35" s="822"/>
      <c r="C35" s="823"/>
      <c r="D35" s="812">
        <f>IF((VLOOKUP(A35,[1]!TOX,4,FALSE))=0,0,('[1]Target Risk'!$D$8*(VLOOKUP(A35,[1]!TOX,4,FALSE))/('GW-1 Exp'!$J$18*(VLOOKUP(A35,[1]!TOX,31,FALSE)))))</f>
        <v>16.219436813186814</v>
      </c>
      <c r="E35" s="812">
        <f t="shared" si="0"/>
        <v>197.05988608848716</v>
      </c>
      <c r="F35" s="812">
        <f t="shared" si="1"/>
        <v>148.19821994294912</v>
      </c>
      <c r="G35" s="813">
        <f t="shared" si="8"/>
        <v>13.609749012207814</v>
      </c>
      <c r="H35" s="814">
        <f>IF(ISERR(1/(VLOOKUP(A35,[1]!TOX,12,FALSE))),0,'[1]Target Risk'!$D$12/('GW-1 Exp'!$J$26*(VLOOKUP(A35,[1]!TOX,33,FALSE))*(VLOOKUP(A35,[1]!TOX,12,FALSE))))</f>
        <v>0</v>
      </c>
      <c r="I35" s="815">
        <f>IF(ISERR(1/(VLOOKUP(A35,[1]!TOX,12,FALSE))),0,IF(VLOOKUP(A35,[1]!TOX,36,FALSE)="M",'[1]Target Risk'!$D$12/(((('GW-1 Exp'!$J$33*(VLOOKUP(A35,[1]!TOX,33,FALSE))*(VLOOKUP(A35,[1]!TOX,12,FALSE))))*10)+((('GW-1 Exp'!$J$34*(VLOOKUP(A35,[1]!TOX,33,FALSE))*(VLOOKUP(A35,[1]!TOX,12,FALSE))))*3)+((('GW-1 Exp'!$J$35*(VLOOKUP(A35,[1]!TOX,33,FALSE))*(VLOOKUP(A35,[1]!TOX,12,FALSE))))*3)+((('GW-1 Exp'!$J$36*(VLOOKUP(A35,[1]!TOX,33,FALSE))*(VLOOKUP(A35,[1]!TOX,12,FALSE))))*1)),'[1]Target Risk'!$D$12/('GW-1 Exp'!$J$26*(VLOOKUP(A35,[1]!TOX,33,FALSE))*(VLOOKUP(A35,[1]!TOX,12,FALSE)))))</f>
        <v>0</v>
      </c>
      <c r="J35" s="812">
        <f t="shared" si="2"/>
        <v>0</v>
      </c>
      <c r="K35" s="812">
        <f t="shared" si="3"/>
        <v>0</v>
      </c>
      <c r="L35" s="815">
        <f t="shared" si="4"/>
        <v>0</v>
      </c>
      <c r="M35" s="816">
        <f>IF(B35&lt;&gt;0,B35,IF((VLOOKUP(A35,[1]!TOX,44,FALSE))=0,O35,MIN(O35,(VLOOKUP(A35,[1]!TOX,44,FALSE)))))</f>
        <v>0.18</v>
      </c>
      <c r="N35" s="817" t="str">
        <f t="shared" si="5"/>
        <v>Odor</v>
      </c>
      <c r="O35" s="818">
        <f t="shared" si="6"/>
        <v>13.609749012207814</v>
      </c>
      <c r="P35" s="582">
        <f>IF($B35&lt;&gt;0,$B35,MIN(M35,(VLOOKUP(A35,[1]!TOX,79,FALSE))))</f>
        <v>0.18</v>
      </c>
      <c r="Q35" s="819">
        <f>IF($B35&lt;&gt;0,$B35,MAX($P35,(VLOOKUP(A35,[1]!TOX,40,FALSE)),(VLOOKUP(A35,[1]!TOX,51,FALSE))))</f>
        <v>10</v>
      </c>
      <c r="R35" s="820">
        <f t="shared" si="7"/>
        <v>10</v>
      </c>
      <c r="S35" s="821" t="str">
        <f>IF(Q35=M35,N35,IF(Q35=(VLOOKUP(A35,[1]!TOX,40,FALSE)),"Bckgrnd",IF(Q35=(VLOOKUP(A35,[1]!TOX,79,FALSE)),"Ceiling","PQL")))</f>
        <v>PQL</v>
      </c>
    </row>
    <row r="36" spans="1:19" s="94" customFormat="1" ht="10" x14ac:dyDescent="0.25">
      <c r="A36" s="619" t="s">
        <v>188</v>
      </c>
      <c r="B36" s="822">
        <v>100</v>
      </c>
      <c r="C36" s="823" t="s">
        <v>341</v>
      </c>
      <c r="D36" s="812">
        <f>IF((VLOOKUP(A36,[1]!TOX,4,FALSE))=0,0,('[1]Target Risk'!$D$8*(VLOOKUP(A36,[1]!TOX,4,FALSE))/('GW-1 Exp'!$J$18*(VLOOKUP(A36,[1]!TOX,31,FALSE)))))</f>
        <v>9.7316620879120901</v>
      </c>
      <c r="E36" s="812">
        <f t="shared" si="0"/>
        <v>137.05415244284322</v>
      </c>
      <c r="F36" s="812">
        <f t="shared" si="1"/>
        <v>0</v>
      </c>
      <c r="G36" s="813">
        <f t="shared" si="8"/>
        <v>9.0864686317456407</v>
      </c>
      <c r="H36" s="814">
        <f>IF(ISERR(1/(VLOOKUP(A36,[1]!TOX,12,FALSE))),0,'[1]Target Risk'!$D$12/('GW-1 Exp'!$J$26*(VLOOKUP(A36,[1]!TOX,33,FALSE))*(VLOOKUP(A36,[1]!TOX,12,FALSE))))</f>
        <v>0</v>
      </c>
      <c r="I36" s="815">
        <f>IF(ISERR(1/(VLOOKUP(A36,[1]!TOX,12,FALSE))),0,IF(VLOOKUP(A36,[1]!TOX,36,FALSE)="M",'[1]Target Risk'!$D$12/(((('GW-1 Exp'!$J$33*(VLOOKUP(A36,[1]!TOX,33,FALSE))*(VLOOKUP(A36,[1]!TOX,12,FALSE))))*10)+((('GW-1 Exp'!$J$34*(VLOOKUP(A36,[1]!TOX,33,FALSE))*(VLOOKUP(A36,[1]!TOX,12,FALSE))))*3)+((('GW-1 Exp'!$J$35*(VLOOKUP(A36,[1]!TOX,33,FALSE))*(VLOOKUP(A36,[1]!TOX,12,FALSE))))*3)+((('GW-1 Exp'!$J$36*(VLOOKUP(A36,[1]!TOX,33,FALSE))*(VLOOKUP(A36,[1]!TOX,12,FALSE))))*1)),'[1]Target Risk'!$D$12/('GW-1 Exp'!$J$26*(VLOOKUP(A36,[1]!TOX,33,FALSE))*(VLOOKUP(A36,[1]!TOX,12,FALSE)))))</f>
        <v>0</v>
      </c>
      <c r="J36" s="812">
        <f t="shared" si="2"/>
        <v>0</v>
      </c>
      <c r="K36" s="812">
        <f t="shared" si="3"/>
        <v>0</v>
      </c>
      <c r="L36" s="815">
        <f t="shared" si="4"/>
        <v>0</v>
      </c>
      <c r="M36" s="816">
        <f>IF(B36&lt;&gt;0,B36,IF((VLOOKUP(A36,[1]!TOX,44,FALSE))=0,O36,MIN(O36,(VLOOKUP(A36,[1]!TOX,44,FALSE)))))</f>
        <v>100</v>
      </c>
      <c r="N36" s="817" t="str">
        <f t="shared" si="5"/>
        <v>MMCL</v>
      </c>
      <c r="O36" s="818">
        <f t="shared" si="6"/>
        <v>9.0864686317456407</v>
      </c>
      <c r="P36" s="582">
        <f>IF($B36&lt;&gt;0,$B36,MIN(M36,(VLOOKUP(A36,[1]!TOX,79,FALSE))))</f>
        <v>100</v>
      </c>
      <c r="Q36" s="819">
        <f>IF($B36&lt;&gt;0,$B36,MAX($P36,(VLOOKUP(A36,[1]!TOX,40,FALSE)),(VLOOKUP(A36,[1]!TOX,51,FALSE))))</f>
        <v>100</v>
      </c>
      <c r="R36" s="820">
        <f t="shared" si="7"/>
        <v>100</v>
      </c>
      <c r="S36" s="821" t="str">
        <f>IF(Q36=M36,N36,IF(Q36=(VLOOKUP(A36,[1]!TOX,40,FALSE)),"Bckgrnd",IF(Q36=(VLOOKUP(A36,[1]!TOX,79,FALSE)),"Ceiling","PQL")))</f>
        <v>MMCL</v>
      </c>
    </row>
    <row r="37" spans="1:19" s="94" customFormat="1" ht="10" x14ac:dyDescent="0.25">
      <c r="A37" s="619" t="s">
        <v>189</v>
      </c>
      <c r="B37" s="822"/>
      <c r="C37" s="823"/>
      <c r="D37" s="812">
        <f>IF((VLOOKUP(A37,[1]!TOX,4,FALSE))=0,0,('[1]Target Risk'!$D$8*(VLOOKUP(A37,[1]!TOX,4,FALSE))/('GW-1 Exp'!$J$18*(VLOOKUP(A37,[1]!TOX,31,FALSE)))))</f>
        <v>4865.8310439560455</v>
      </c>
      <c r="E37" s="812">
        <f t="shared" si="0"/>
        <v>311486.71009737096</v>
      </c>
      <c r="F37" s="812">
        <f t="shared" si="1"/>
        <v>0</v>
      </c>
      <c r="G37" s="813">
        <f>IF(AND(D37=0,E37=0),F37,IF(AND(E37=0,F37=0),D37,IF(AND(D37=0,F37=0),E37,IF(E37=0,1/((1/D37)+(1/F37)),IF(D37=0,1/((1/E37)+(1/F37)),IF(F37=0,1/((1/D37)+(1/E37)),1/((1/D37)+(1/E37)+(1/F37))))))))</f>
        <v>4790.9895027346356</v>
      </c>
      <c r="H37" s="814">
        <f>IF(ISERR(1/(VLOOKUP(A37,[1]!TOX,12,FALSE))),0,'[1]Target Risk'!$D$12/('GW-1 Exp'!$J$26*(VLOOKUP(A37,[1]!TOX,33,FALSE))*(VLOOKUP(A37,[1]!TOX,12,FALSE))))</f>
        <v>0</v>
      </c>
      <c r="I37" s="815">
        <f>IF(ISERR(1/(VLOOKUP(A37,[1]!TOX,12,FALSE))),0,IF(VLOOKUP(A37,[1]!TOX,36,FALSE)="M",'[1]Target Risk'!$D$12/(((('GW-1 Exp'!$J$33*(VLOOKUP(A37,[1]!TOX,33,FALSE))*(VLOOKUP(A37,[1]!TOX,12,FALSE))))*10)+((('GW-1 Exp'!$J$34*(VLOOKUP(A37,[1]!TOX,33,FALSE))*(VLOOKUP(A37,[1]!TOX,12,FALSE))))*3)+((('GW-1 Exp'!$J$35*(VLOOKUP(A37,[1]!TOX,33,FALSE))*(VLOOKUP(A37,[1]!TOX,12,FALSE))))*3)+((('GW-1 Exp'!$J$36*(VLOOKUP(A37,[1]!TOX,33,FALSE))*(VLOOKUP(A37,[1]!TOX,12,FALSE))))*1)),'[1]Target Risk'!$D$12/('GW-1 Exp'!$J$26*(VLOOKUP(A37,[1]!TOX,33,FALSE))*(VLOOKUP(A37,[1]!TOX,12,FALSE)))))</f>
        <v>0</v>
      </c>
      <c r="J37" s="812">
        <f t="shared" si="2"/>
        <v>0</v>
      </c>
      <c r="K37" s="812">
        <f t="shared" si="3"/>
        <v>0</v>
      </c>
      <c r="L37" s="815">
        <f t="shared" si="4"/>
        <v>0</v>
      </c>
      <c r="M37" s="816">
        <f>IF(B37&lt;&gt;0,B37,IF((VLOOKUP(A37,[1]!TOX,44,FALSE))=0,O37,MIN(O37,(VLOOKUP(A37,[1]!TOX,44,FALSE)))))</f>
        <v>4790.9895027346356</v>
      </c>
      <c r="N37" s="817" t="str">
        <f t="shared" si="5"/>
        <v>Noncancer</v>
      </c>
      <c r="O37" s="818">
        <f t="shared" si="6"/>
        <v>4790.9895027346356</v>
      </c>
      <c r="P37" s="582">
        <f>IF($B37&lt;&gt;0,$B37,MIN(M37,(VLOOKUP(A37,[1]!TOX,79,FALSE))))</f>
        <v>4790.9895027346356</v>
      </c>
      <c r="Q37" s="819">
        <f>IF($B37&lt;&gt;0,$B37,MAX($P37,(VLOOKUP(A37,[1]!TOX,40,FALSE)),(VLOOKUP(A37,[1]!TOX,51,FALSE))))</f>
        <v>4790.9895027346356</v>
      </c>
      <c r="R37" s="820">
        <v>100</v>
      </c>
      <c r="S37" s="821" t="str">
        <f>IF(Q37=M37,N37,IF(Q37=(VLOOKUP(A37,[1]!TOX,40,FALSE)),"Bckgrnd",IF(Q37=(VLOOKUP(A37,[1]!TOX,79,FALSE)),"Ceiling","PQL")))</f>
        <v>Noncancer</v>
      </c>
    </row>
    <row r="38" spans="1:19" s="94" customFormat="1" ht="10" x14ac:dyDescent="0.25">
      <c r="A38" s="619" t="s">
        <v>190</v>
      </c>
      <c r="B38" s="822"/>
      <c r="C38" s="823"/>
      <c r="D38" s="812">
        <f>IF((VLOOKUP(A38,[1]!TOX,4,FALSE))=0,0,('[1]Target Risk'!$D$8*(VLOOKUP(A38,[1]!TOX,4,FALSE))/('GW-1 Exp'!$J$18*(VLOOKUP(A38,[1]!TOX,31,FALSE)))))</f>
        <v>9.7316620879120901</v>
      </c>
      <c r="E38" s="812">
        <f t="shared" si="0"/>
        <v>137.05415244284322</v>
      </c>
      <c r="F38" s="812">
        <f t="shared" si="1"/>
        <v>0</v>
      </c>
      <c r="G38" s="813">
        <f t="shared" si="8"/>
        <v>9.0864686317456407</v>
      </c>
      <c r="H38" s="814">
        <f>IF(ISERR(1/(VLOOKUP(A38,[1]!TOX,12,FALSE))),0,'[1]Target Risk'!$D$12/('GW-1 Exp'!$J$26*(VLOOKUP(A38,[1]!TOX,33,FALSE))*(VLOOKUP(A38,[1]!TOX,12,FALSE))))</f>
        <v>0</v>
      </c>
      <c r="I38" s="815">
        <f>IF(ISERR(1/(VLOOKUP(A38,[1]!TOX,12,FALSE))),0,IF(VLOOKUP(A38,[1]!TOX,36,FALSE)="M",'[1]Target Risk'!$D$12/(((('GW-1 Exp'!$J$33*(VLOOKUP(A38,[1]!TOX,33,FALSE))*(VLOOKUP(A38,[1]!TOX,12,FALSE))))*10)+((('GW-1 Exp'!$J$34*(VLOOKUP(A38,[1]!TOX,33,FALSE))*(VLOOKUP(A38,[1]!TOX,12,FALSE))))*3)+((('GW-1 Exp'!$J$35*(VLOOKUP(A38,[1]!TOX,33,FALSE))*(VLOOKUP(A38,[1]!TOX,12,FALSE))))*3)+((('GW-1 Exp'!$J$36*(VLOOKUP(A38,[1]!TOX,33,FALSE))*(VLOOKUP(A38,[1]!TOX,12,FALSE))))*1)),'[1]Target Risk'!$D$12/('GW-1 Exp'!$J$26*(VLOOKUP(A38,[1]!TOX,33,FALSE))*(VLOOKUP(A38,[1]!TOX,12,FALSE)))))</f>
        <v>0</v>
      </c>
      <c r="J38" s="812">
        <f t="shared" si="2"/>
        <v>0</v>
      </c>
      <c r="K38" s="812">
        <f t="shared" si="3"/>
        <v>0</v>
      </c>
      <c r="L38" s="815">
        <f t="shared" si="4"/>
        <v>0</v>
      </c>
      <c r="M38" s="816">
        <f>IF(B38&lt;&gt;0,B38,IF((VLOOKUP(A38,[1]!TOX,44,FALSE))=0,O38,MIN(O38,(VLOOKUP(A38,[1]!TOX,44,FALSE)))))</f>
        <v>9.0864686317456407</v>
      </c>
      <c r="N38" s="817" t="str">
        <f t="shared" si="5"/>
        <v>Noncancer</v>
      </c>
      <c r="O38" s="818">
        <f t="shared" si="6"/>
        <v>9.0864686317456407</v>
      </c>
      <c r="P38" s="582">
        <f>IF($B38&lt;&gt;0,$B38,MIN(M38,(VLOOKUP(A38,[1]!TOX,79,FALSE))))</f>
        <v>9.0864686317456407</v>
      </c>
      <c r="Q38" s="819">
        <f>IF($B38&lt;&gt;0,$B38,MAX($P38,(VLOOKUP(A38,[1]!TOX,40,FALSE)),(VLOOKUP(A38,[1]!TOX,51,FALSE))))</f>
        <v>9.0864686317456407</v>
      </c>
      <c r="R38" s="820">
        <v>100</v>
      </c>
      <c r="S38" s="821" t="str">
        <f>IF(Q38=M38,N38,IF(Q38=(VLOOKUP(A38,[1]!TOX,40,FALSE)),"Bckgrnd",IF(Q38=(VLOOKUP(A38,[1]!TOX,79,FALSE)),"Ceiling","PQL")))</f>
        <v>Noncancer</v>
      </c>
    </row>
    <row r="39" spans="1:19" s="94" customFormat="1" ht="10" x14ac:dyDescent="0.25">
      <c r="A39" s="619" t="s">
        <v>191</v>
      </c>
      <c r="B39" s="822"/>
      <c r="C39" s="823"/>
      <c r="D39" s="812">
        <f>IF((VLOOKUP(A39,[1]!TOX,4,FALSE))=0,0,('[1]Target Risk'!$D$8*(VLOOKUP(A39,[1]!TOX,4,FALSE))/('GW-1 Exp'!$J$18*(VLOOKUP(A39,[1]!TOX,31,FALSE)))))</f>
        <v>97.31662087912089</v>
      </c>
      <c r="E39" s="812">
        <f t="shared" ref="E39:E70" si="9">(VLOOKUP(A39,DWDERM,18,FALSE))</f>
        <v>89.531291208791231</v>
      </c>
      <c r="F39" s="812">
        <f t="shared" ref="F39:F70" si="10">(VLOOKUP(A39,DWInhale,13,FALSE))</f>
        <v>1137.053282371661</v>
      </c>
      <c r="G39" s="813">
        <f t="shared" si="8"/>
        <v>44.793871342217273</v>
      </c>
      <c r="H39" s="814">
        <f>IF(ISERR(1/(VLOOKUP(A39,[1]!TOX,12,FALSE))),0,'[1]Target Risk'!$D$12/('GW-1 Exp'!$J$26*(VLOOKUP(A39,[1]!TOX,33,FALSE))*(VLOOKUP(A39,[1]!TOX,12,FALSE))))</f>
        <v>5.5262220445491277</v>
      </c>
      <c r="I39" s="815">
        <f>IF(ISERR(1/(VLOOKUP(A39,[1]!TOX,12,FALSE))),0,IF(VLOOKUP(A39,[1]!TOX,36,FALSE)="M",'[1]Target Risk'!$D$12/(((('GW-1 Exp'!$J$33*(VLOOKUP(A39,[1]!TOX,33,FALSE))*(VLOOKUP(A39,[1]!TOX,12,FALSE))))*10)+((('GW-1 Exp'!$J$34*(VLOOKUP(A39,[1]!TOX,33,FALSE))*(VLOOKUP(A39,[1]!TOX,12,FALSE))))*3)+((('GW-1 Exp'!$J$35*(VLOOKUP(A39,[1]!TOX,33,FALSE))*(VLOOKUP(A39,[1]!TOX,12,FALSE))))*3)+((('GW-1 Exp'!$J$36*(VLOOKUP(A39,[1]!TOX,33,FALSE))*(VLOOKUP(A39,[1]!TOX,12,FALSE))))*1)),'[1]Target Risk'!$D$12/('GW-1 Exp'!$J$26*(VLOOKUP(A39,[1]!TOX,33,FALSE))*(VLOOKUP(A39,[1]!TOX,12,FALSE)))))</f>
        <v>1.5271954167573876</v>
      </c>
      <c r="J39" s="812">
        <f t="shared" ref="J39:J70" si="11">(VLOOKUP(A39,DWDERM,20,FALSE))</f>
        <v>1.4050197834167966</v>
      </c>
      <c r="K39" s="812">
        <f t="shared" ref="K39:K70" si="12">(VLOOKUP(A39,DWInhale,14,FALSE))</f>
        <v>122.44289451581385</v>
      </c>
      <c r="L39" s="815">
        <f t="shared" ref="L39:L70" si="13">IF(AND(I39=0,J39=0),K39,IF(AND(J39=0,K39=0),I39,IF(AND(I39=0,K39=0),J39,IF(J39=0,1/((1/I39)+(1/K39)),IF(I39=0,1/((1/J39)+(1/K39)),IF(K39=0,1/((1/I39)+(1/J39)),1/((1/I39)+(1/J39)+(1/K39))))))))</f>
        <v>0.72743362314827309</v>
      </c>
      <c r="M39" s="816">
        <f>IF(B39&lt;&gt;0,B39,IF((VLOOKUP(A39,[1]!TOX,44,FALSE))=0,O39,MIN(O39,(VLOOKUP(A39,[1]!TOX,44,FALSE)))))</f>
        <v>0.72743362314827309</v>
      </c>
      <c r="N39" s="817" t="str">
        <f t="shared" si="5"/>
        <v>Cancer</v>
      </c>
      <c r="O39" s="818">
        <f t="shared" ref="O39:O70" si="14">IF(MIN(G39,L39)&lt;&gt;0,MIN(G39,L39),MAX(G39,L39))</f>
        <v>0.72743362314827309</v>
      </c>
      <c r="P39" s="582">
        <f>IF($B39&lt;&gt;0,$B39,MIN(M39,(VLOOKUP(A39,[1]!TOX,79,FALSE))))</f>
        <v>0.72743362314827309</v>
      </c>
      <c r="Q39" s="819">
        <f>IF($B39&lt;&gt;0,$B39,MAX($P39,(VLOOKUP(A39,[1]!TOX,40,FALSE)),(VLOOKUP(A39,[1]!TOX,51,FALSE))))</f>
        <v>1.5</v>
      </c>
      <c r="R39" s="820">
        <f t="shared" ref="R39:R70" si="15">IF(ISNUMBER(B39),Q39,ROUND(Q39,-INT(LOG10(ABS(Q39)))))</f>
        <v>2</v>
      </c>
      <c r="S39" s="821" t="str">
        <f>IF(Q39=M39,N39,IF(Q39=(VLOOKUP(A39,[1]!TOX,40,FALSE)),"Bckgrnd",IF(Q39=(VLOOKUP(A39,[1]!TOX,79,FALSE)),"Ceiling","PQL")))</f>
        <v>PQL</v>
      </c>
    </row>
    <row r="40" spans="1:19" s="94" customFormat="1" ht="10" x14ac:dyDescent="0.25">
      <c r="A40" s="619" t="s">
        <v>282</v>
      </c>
      <c r="B40" s="822">
        <v>200</v>
      </c>
      <c r="C40" s="823" t="s">
        <v>341</v>
      </c>
      <c r="D40" s="812">
        <f>IF((VLOOKUP(A40,[1]!TOX,4,FALSE))=0,0,('[1]Target Risk'!$D$8*(VLOOKUP(A40,[1]!TOX,4,FALSE))/('GW-1 Exp'!$J$18*(VLOOKUP(A40,[1]!TOX,31,FALSE)))))</f>
        <v>1.9463324175824177</v>
      </c>
      <c r="E40" s="812">
        <f t="shared" si="9"/>
        <v>498.37873615579343</v>
      </c>
      <c r="F40" s="812">
        <f t="shared" si="10"/>
        <v>0.21580898401980281</v>
      </c>
      <c r="G40" s="813">
        <f t="shared" si="8"/>
        <v>0.19419282875394916</v>
      </c>
      <c r="H40" s="814">
        <f>IF(ISERR(1/(VLOOKUP(A40,[1]!TOX,12,FALSE))),0,'[1]Target Risk'!$D$12/('GW-1 Exp'!$J$26*(VLOOKUP(A40,[1]!TOX,33,FALSE))*(VLOOKUP(A40,[1]!TOX,12,FALSE))))</f>
        <v>0</v>
      </c>
      <c r="I40" s="815">
        <f>IF(ISERR(1/(VLOOKUP(A40,[1]!TOX,12,FALSE))),0,IF(VLOOKUP(A40,[1]!TOX,36,FALSE)="M",'[1]Target Risk'!$D$12/(((('GW-1 Exp'!$J$33*(VLOOKUP(A40,[1]!TOX,33,FALSE))*(VLOOKUP(A40,[1]!TOX,12,FALSE))))*10)+((('GW-1 Exp'!$J$34*(VLOOKUP(A40,[1]!TOX,33,FALSE))*(VLOOKUP(A40,[1]!TOX,12,FALSE))))*3)+((('GW-1 Exp'!$J$35*(VLOOKUP(A40,[1]!TOX,33,FALSE))*(VLOOKUP(A40,[1]!TOX,12,FALSE))))*3)+((('GW-1 Exp'!$J$36*(VLOOKUP(A40,[1]!TOX,33,FALSE))*(VLOOKUP(A40,[1]!TOX,12,FALSE))))*1)),'[1]Target Risk'!$D$12/('GW-1 Exp'!$J$26*(VLOOKUP(A40,[1]!TOX,33,FALSE))*(VLOOKUP(A40,[1]!TOX,12,FALSE)))))</f>
        <v>0</v>
      </c>
      <c r="J40" s="812">
        <f t="shared" si="11"/>
        <v>0</v>
      </c>
      <c r="K40" s="812">
        <f t="shared" si="12"/>
        <v>0</v>
      </c>
      <c r="L40" s="815">
        <f t="shared" si="13"/>
        <v>0</v>
      </c>
      <c r="M40" s="816">
        <f>IF(B40&lt;&gt;0,B40,IF((VLOOKUP(A40,[1]!TOX,44,FALSE))=0,O40,MIN(O40,(VLOOKUP(A40,[1]!TOX,44,FALSE)))))</f>
        <v>200</v>
      </c>
      <c r="N40" s="817" t="str">
        <f t="shared" si="5"/>
        <v>MMCL</v>
      </c>
      <c r="O40" s="818">
        <f t="shared" si="14"/>
        <v>0.19419282875394916</v>
      </c>
      <c r="P40" s="582">
        <f>IF($B40&lt;&gt;0,$B40,MIN(M40,(VLOOKUP(A40,[1]!TOX,79,FALSE))))</f>
        <v>200</v>
      </c>
      <c r="Q40" s="819">
        <f>IF($B40&lt;&gt;0,$B40,MAX($P40,(VLOOKUP(A40,[1]!TOX,40,FALSE)),(VLOOKUP(A40,[1]!TOX,51,FALSE))))</f>
        <v>200</v>
      </c>
      <c r="R40" s="820">
        <f t="shared" si="15"/>
        <v>200</v>
      </c>
      <c r="S40" s="821" t="str">
        <f>IF(Q40=M40,N40,IF(Q40=(VLOOKUP(A40,[1]!TOX,40,FALSE)),"Bckgrnd",IF(Q40=(VLOOKUP(A40,[1]!TOX,79,FALSE)),"Ceiling","PQL")))</f>
        <v>MMCL</v>
      </c>
    </row>
    <row r="41" spans="1:19" s="94" customFormat="1" ht="10" x14ac:dyDescent="0.25">
      <c r="A41" s="619" t="s">
        <v>192</v>
      </c>
      <c r="B41" s="822"/>
      <c r="C41" s="823"/>
      <c r="D41" s="812">
        <f>IF((VLOOKUP(A41,[1]!TOX,4,FALSE))=0,0,('[1]Target Risk'!$D$8*(VLOOKUP(A41,[1]!TOX,4,FALSE))/('GW-1 Exp'!$J$18*(VLOOKUP(A41,[1]!TOX,31,FALSE)))))</f>
        <v>97.31662087912089</v>
      </c>
      <c r="E41" s="812">
        <f t="shared" si="9"/>
        <v>89.531291208791231</v>
      </c>
      <c r="F41" s="812">
        <f t="shared" si="10"/>
        <v>52113.602982920209</v>
      </c>
      <c r="G41" s="813">
        <f t="shared" si="8"/>
        <v>46.589193159643642</v>
      </c>
      <c r="H41" s="814">
        <f>IF(ISERR(1/(VLOOKUP(A41,[1]!TOX,12,FALSE))),0,'[1]Target Risk'!$D$12/('GW-1 Exp'!$J$26*(VLOOKUP(A41,[1]!TOX,33,FALSE))*(VLOOKUP(A41,[1]!TOX,12,FALSE))))</f>
        <v>5.5262220445491284E-2</v>
      </c>
      <c r="I41" s="815">
        <f>IF(ISERR(1/(VLOOKUP(A41,[1]!TOX,12,FALSE))),0,IF(VLOOKUP(A41,[1]!TOX,36,FALSE)="M",'[1]Target Risk'!$D$12/(((('GW-1 Exp'!$J$33*(VLOOKUP(A41,[1]!TOX,33,FALSE))*(VLOOKUP(A41,[1]!TOX,12,FALSE))))*10)+((('GW-1 Exp'!$J$34*(VLOOKUP(A41,[1]!TOX,33,FALSE))*(VLOOKUP(A41,[1]!TOX,12,FALSE))))*3)+((('GW-1 Exp'!$J$35*(VLOOKUP(A41,[1]!TOX,33,FALSE))*(VLOOKUP(A41,[1]!TOX,12,FALSE))))*3)+((('GW-1 Exp'!$J$36*(VLOOKUP(A41,[1]!TOX,33,FALSE))*(VLOOKUP(A41,[1]!TOX,12,FALSE))))*1)),'[1]Target Risk'!$D$12/('GW-1 Exp'!$J$26*(VLOOKUP(A41,[1]!TOX,33,FALSE))*(VLOOKUP(A41,[1]!TOX,12,FALSE)))))</f>
        <v>1.5271954167573877E-2</v>
      </c>
      <c r="J41" s="812">
        <f t="shared" si="11"/>
        <v>1.4050197834167968E-2</v>
      </c>
      <c r="K41" s="812">
        <f t="shared" si="12"/>
        <v>5.6118217956922507</v>
      </c>
      <c r="L41" s="815">
        <f t="shared" si="13"/>
        <v>7.3082813785791019E-3</v>
      </c>
      <c r="M41" s="816">
        <f>IF(B41&lt;&gt;0,B41,IF((VLOOKUP(A41,[1]!TOX,44,FALSE))=0,O41,MIN(O41,(VLOOKUP(A41,[1]!TOX,44,FALSE)))))</f>
        <v>7.3082813785791019E-3</v>
      </c>
      <c r="N41" s="817" t="str">
        <f t="shared" si="5"/>
        <v>Cancer</v>
      </c>
      <c r="O41" s="818">
        <f t="shared" si="14"/>
        <v>7.3082813785791019E-3</v>
      </c>
      <c r="P41" s="582">
        <f>IF($B41&lt;&gt;0,$B41,MIN(M41,(VLOOKUP(A41,[1]!TOX,79,FALSE))))</f>
        <v>7.3082813785791019E-3</v>
      </c>
      <c r="Q41" s="819">
        <f>IF($B41&lt;&gt;0,$B41,MAX($P41,(VLOOKUP(A41,[1]!TOX,40,FALSE)),(VLOOKUP(A41,[1]!TOX,51,FALSE))))</f>
        <v>0.5</v>
      </c>
      <c r="R41" s="820">
        <f t="shared" si="15"/>
        <v>0.5</v>
      </c>
      <c r="S41" s="821" t="str">
        <f>IF(Q41=M41,N41,IF(Q41=(VLOOKUP(A41,[1]!TOX,40,FALSE)),"Bckgrnd",IF(Q41=(VLOOKUP(A41,[1]!TOX,79,FALSE)),"Ceiling","PQL")))</f>
        <v>PQL</v>
      </c>
    </row>
    <row r="42" spans="1:19" s="94" customFormat="1" ht="10" x14ac:dyDescent="0.25">
      <c r="A42" s="619" t="s">
        <v>193</v>
      </c>
      <c r="B42" s="822"/>
      <c r="C42" s="823"/>
      <c r="D42" s="812">
        <f>IF((VLOOKUP(A42,[1]!TOX,4,FALSE))=0,0,('[1]Target Risk'!$D$8*(VLOOKUP(A42,[1]!TOX,4,FALSE))/('GW-1 Exp'!$J$18*(VLOOKUP(A42,[1]!TOX,31,FALSE)))))</f>
        <v>64.877747252747255</v>
      </c>
      <c r="E42" s="812">
        <f t="shared" si="9"/>
        <v>1266.1474784650936</v>
      </c>
      <c r="F42" s="812">
        <f t="shared" si="10"/>
        <v>47.636892691925702</v>
      </c>
      <c r="G42" s="813">
        <f t="shared" si="8"/>
        <v>26.884946513454384</v>
      </c>
      <c r="H42" s="814">
        <f>IF(ISERR(1/(VLOOKUP(A42,[1]!TOX,12,FALSE))),0,'[1]Target Risk'!$D$12/('GW-1 Exp'!$J$26*(VLOOKUP(A42,[1]!TOX,33,FALSE))*(VLOOKUP(A42,[1]!TOX,12,FALSE))))</f>
        <v>0.65788357673203912</v>
      </c>
      <c r="I42" s="815">
        <f>IF(ISERR(1/(VLOOKUP(A42,[1]!TOX,12,FALSE))),0,IF(VLOOKUP(A42,[1]!TOX,36,FALSE)="M",'[1]Target Risk'!$D$12/(((('GW-1 Exp'!$J$33*(VLOOKUP(A42,[1]!TOX,33,FALSE))*(VLOOKUP(A42,[1]!TOX,12,FALSE))))*10)+((('GW-1 Exp'!$J$34*(VLOOKUP(A42,[1]!TOX,33,FALSE))*(VLOOKUP(A42,[1]!TOX,12,FALSE))))*3)+((('GW-1 Exp'!$J$35*(VLOOKUP(A42,[1]!TOX,33,FALSE))*(VLOOKUP(A42,[1]!TOX,12,FALSE))))*3)+((('GW-1 Exp'!$J$36*(VLOOKUP(A42,[1]!TOX,33,FALSE))*(VLOOKUP(A42,[1]!TOX,12,FALSE))))*1)),'[1]Target Risk'!$D$12/('GW-1 Exp'!$J$26*(VLOOKUP(A42,[1]!TOX,33,FALSE))*(VLOOKUP(A42,[1]!TOX,12,FALSE)))))</f>
        <v>0.65788357673203912</v>
      </c>
      <c r="J42" s="812">
        <f t="shared" si="11"/>
        <v>10.070778371260442</v>
      </c>
      <c r="K42" s="812">
        <f t="shared" si="12"/>
        <v>0.192968993583085</v>
      </c>
      <c r="L42" s="815">
        <f t="shared" si="13"/>
        <v>0.14702633354639225</v>
      </c>
      <c r="M42" s="816">
        <f>IF(B42&lt;&gt;0,B42,IF((VLOOKUP(A42,[1]!TOX,44,FALSE))=0,O42,MIN(O42,(VLOOKUP(A42,[1]!TOX,44,FALSE)))))</f>
        <v>0.14702633354639225</v>
      </c>
      <c r="N42" s="817" t="str">
        <f t="shared" si="5"/>
        <v>Cancer</v>
      </c>
      <c r="O42" s="818">
        <f t="shared" si="14"/>
        <v>0.14702633354639225</v>
      </c>
      <c r="P42" s="582">
        <f>IF($B42&lt;&gt;0,$B42,MIN(M42,(VLOOKUP(A42,[1]!TOX,79,FALSE))))</f>
        <v>0.14702633354639225</v>
      </c>
      <c r="Q42" s="819">
        <f>IF($B42&lt;&gt;0,$B42,MAX($P42,(VLOOKUP(A42,[1]!TOX,40,FALSE)),(VLOOKUP(A42,[1]!TOX,51,FALSE))))</f>
        <v>2</v>
      </c>
      <c r="R42" s="820">
        <f t="shared" si="15"/>
        <v>2</v>
      </c>
      <c r="S42" s="821" t="str">
        <f>IF(Q42=M42,N42,IF(Q42=(VLOOKUP(A42,[1]!TOX,40,FALSE)),"Bckgrnd",IF(Q42=(VLOOKUP(A42,[1]!TOX,79,FALSE)),"Ceiling","PQL")))</f>
        <v>PQL</v>
      </c>
    </row>
    <row r="43" spans="1:19" s="94" customFormat="1" ht="10" x14ac:dyDescent="0.25">
      <c r="A43" s="619" t="s">
        <v>194</v>
      </c>
      <c r="B43" s="822">
        <v>600</v>
      </c>
      <c r="C43" s="823" t="s">
        <v>341</v>
      </c>
      <c r="D43" s="812">
        <f>IF((VLOOKUP(A43,[1]!TOX,4,FALSE))=0,0,('[1]Target Risk'!$D$8*(VLOOKUP(A43,[1]!TOX,4,FALSE))/('GW-1 Exp'!$J$18*(VLOOKUP(A43,[1]!TOX,31,FALSE)))))</f>
        <v>291.94986263736263</v>
      </c>
      <c r="E43" s="812">
        <f t="shared" si="9"/>
        <v>569.46984575833267</v>
      </c>
      <c r="F43" s="812">
        <f t="shared" si="10"/>
        <v>415.08138300529231</v>
      </c>
      <c r="G43" s="813">
        <f t="shared" si="8"/>
        <v>131.74482453595121</v>
      </c>
      <c r="H43" s="814">
        <f>IF(ISERR(1/(VLOOKUP(A43,[1]!TOX,12,FALSE))),0,'[1]Target Risk'!$D$12/('GW-1 Exp'!$J$26*(VLOOKUP(A43,[1]!TOX,33,FALSE))*(VLOOKUP(A43,[1]!TOX,12,FALSE))))</f>
        <v>0</v>
      </c>
      <c r="I43" s="815">
        <f>IF(ISERR(1/(VLOOKUP(A43,[1]!TOX,12,FALSE))),0,IF(VLOOKUP(A43,[1]!TOX,36,FALSE)="M",'[1]Target Risk'!$D$12/(((('GW-1 Exp'!$J$33*(VLOOKUP(A43,[1]!TOX,33,FALSE))*(VLOOKUP(A43,[1]!TOX,12,FALSE))))*10)+((('GW-1 Exp'!$J$34*(VLOOKUP(A43,[1]!TOX,33,FALSE))*(VLOOKUP(A43,[1]!TOX,12,FALSE))))*3)+((('GW-1 Exp'!$J$35*(VLOOKUP(A43,[1]!TOX,33,FALSE))*(VLOOKUP(A43,[1]!TOX,12,FALSE))))*3)+((('GW-1 Exp'!$J$36*(VLOOKUP(A43,[1]!TOX,33,FALSE))*(VLOOKUP(A43,[1]!TOX,12,FALSE))))*1)),'[1]Target Risk'!$D$12/('GW-1 Exp'!$J$26*(VLOOKUP(A43,[1]!TOX,33,FALSE))*(VLOOKUP(A43,[1]!TOX,12,FALSE)))))</f>
        <v>0</v>
      </c>
      <c r="J43" s="812">
        <f t="shared" si="11"/>
        <v>0</v>
      </c>
      <c r="K43" s="812">
        <f t="shared" si="12"/>
        <v>0</v>
      </c>
      <c r="L43" s="815">
        <f t="shared" si="13"/>
        <v>0</v>
      </c>
      <c r="M43" s="816">
        <f>IF(B43&lt;&gt;0,B43,IF((VLOOKUP(A43,[1]!TOX,44,FALSE))=0,O43,MIN(O43,(VLOOKUP(A43,[1]!TOX,44,FALSE)))))</f>
        <v>600</v>
      </c>
      <c r="N43" s="817" t="str">
        <f t="shared" ref="N43:N70" si="16">IF(M43=0,"Not Calculated",IF(M43=B43,C43,IF(M43=G43,"Noncancer",IF(M43=L43,"Cancer","Odor"))))</f>
        <v>MMCL</v>
      </c>
      <c r="O43" s="818">
        <f t="shared" si="14"/>
        <v>131.74482453595121</v>
      </c>
      <c r="P43" s="582">
        <f>IF($B43&lt;&gt;0,$B43,MIN(M43,(VLOOKUP(A43,[1]!TOX,79,FALSE))))</f>
        <v>600</v>
      </c>
      <c r="Q43" s="819">
        <f>IF($B43&lt;&gt;0,$B43,MAX($P43,(VLOOKUP(A43,[1]!TOX,40,FALSE)),(VLOOKUP(A43,[1]!TOX,51,FALSE))))</f>
        <v>600</v>
      </c>
      <c r="R43" s="820">
        <f t="shared" si="15"/>
        <v>600</v>
      </c>
      <c r="S43" s="821" t="str">
        <f>IF(Q43=M43,N43,IF(Q43=(VLOOKUP(A43,[1]!TOX,40,FALSE)),"Bckgrnd",IF(Q43=(VLOOKUP(A43,[1]!TOX,79,FALSE)),"Ceiling","PQL")))</f>
        <v>MMCL</v>
      </c>
    </row>
    <row r="44" spans="1:19" s="94" customFormat="1" ht="10" x14ac:dyDescent="0.25">
      <c r="A44" s="619" t="s">
        <v>195</v>
      </c>
      <c r="B44" s="822"/>
      <c r="C44" s="823"/>
      <c r="D44" s="812">
        <f>IF((VLOOKUP(A44,[1]!TOX,4,FALSE))=0,0,('[1]Target Risk'!$D$8*(VLOOKUP(A44,[1]!TOX,4,FALSE))/('GW-1 Exp'!$J$18*(VLOOKUP(A44,[1]!TOX,31,FALSE)))))</f>
        <v>291.94986263736263</v>
      </c>
      <c r="E44" s="812">
        <f t="shared" si="9"/>
        <v>489.18229759600001</v>
      </c>
      <c r="F44" s="812">
        <f t="shared" si="10"/>
        <v>404.77091636259752</v>
      </c>
      <c r="G44" s="813">
        <f t="shared" si="8"/>
        <v>125.94447992596233</v>
      </c>
      <c r="H44" s="814">
        <f>IF(ISERR(1/(VLOOKUP(A44,[1]!TOX,12,FALSE))),0,'[1]Target Risk'!$D$12/('GW-1 Exp'!$J$26*(VLOOKUP(A44,[1]!TOX,33,FALSE))*(VLOOKUP(A44,[1]!TOX,12,FALSE))))</f>
        <v>0</v>
      </c>
      <c r="I44" s="815">
        <f>IF(ISERR(1/(VLOOKUP(A44,[1]!TOX,12,FALSE))),0,IF(VLOOKUP(A44,[1]!TOX,36,FALSE)="M",'[1]Target Risk'!$D$12/(((('GW-1 Exp'!$J$33*(VLOOKUP(A44,[1]!TOX,33,FALSE))*(VLOOKUP(A44,[1]!TOX,12,FALSE))))*10)+((('GW-1 Exp'!$J$34*(VLOOKUP(A44,[1]!TOX,33,FALSE))*(VLOOKUP(A44,[1]!TOX,12,FALSE))))*3)+((('GW-1 Exp'!$J$35*(VLOOKUP(A44,[1]!TOX,33,FALSE))*(VLOOKUP(A44,[1]!TOX,12,FALSE))))*3)+((('GW-1 Exp'!$J$36*(VLOOKUP(A44,[1]!TOX,33,FALSE))*(VLOOKUP(A44,[1]!TOX,12,FALSE))))*1)),'[1]Target Risk'!$D$12/('GW-1 Exp'!$J$26*(VLOOKUP(A44,[1]!TOX,33,FALSE))*(VLOOKUP(A44,[1]!TOX,12,FALSE)))))</f>
        <v>0</v>
      </c>
      <c r="J44" s="812">
        <f t="shared" si="11"/>
        <v>0</v>
      </c>
      <c r="K44" s="812">
        <f t="shared" si="12"/>
        <v>0</v>
      </c>
      <c r="L44" s="815">
        <f t="shared" si="13"/>
        <v>0</v>
      </c>
      <c r="M44" s="816">
        <f>IF(B44&lt;&gt;0,B44,IF((VLOOKUP(A44,[1]!TOX,44,FALSE))=0,O44,MIN(O44,(VLOOKUP(A44,[1]!TOX,44,FALSE)))))</f>
        <v>125.94447992596233</v>
      </c>
      <c r="N44" s="817" t="str">
        <f t="shared" si="16"/>
        <v>Noncancer</v>
      </c>
      <c r="O44" s="818">
        <f t="shared" si="14"/>
        <v>125.94447992596233</v>
      </c>
      <c r="P44" s="582">
        <f>IF($B44&lt;&gt;0,$B44,MIN(M44,(VLOOKUP(A44,[1]!TOX,79,FALSE))))</f>
        <v>125.94447992596233</v>
      </c>
      <c r="Q44" s="819">
        <f>IF($B44&lt;&gt;0,$B44,MAX($P44,(VLOOKUP(A44,[1]!TOX,40,FALSE)),(VLOOKUP(A44,[1]!TOX,51,FALSE))))</f>
        <v>125.94447992596233</v>
      </c>
      <c r="R44" s="820">
        <f t="shared" si="15"/>
        <v>100</v>
      </c>
      <c r="S44" s="821" t="str">
        <f>IF(Q44=M44,N44,IF(Q44=(VLOOKUP(A44,[1]!TOX,40,FALSE)),"Bckgrnd",IF(Q44=(VLOOKUP(A44,[1]!TOX,79,FALSE)),"Ceiling","PQL")))</f>
        <v>Noncancer</v>
      </c>
    </row>
    <row r="45" spans="1:19" s="94" customFormat="1" ht="10" x14ac:dyDescent="0.25">
      <c r="A45" s="619" t="s">
        <v>196</v>
      </c>
      <c r="B45" s="822">
        <v>5</v>
      </c>
      <c r="C45" s="823" t="s">
        <v>341</v>
      </c>
      <c r="D45" s="812">
        <f>IF((VLOOKUP(A45,[1]!TOX,4,FALSE))=0,0,('[1]Target Risk'!$D$8*(VLOOKUP(A45,[1]!TOX,4,FALSE))/('GW-1 Exp'!$J$18*(VLOOKUP(A45,[1]!TOX,31,FALSE)))))</f>
        <v>291.94986263736263</v>
      </c>
      <c r="E45" s="812">
        <f t="shared" si="9"/>
        <v>560.88100529327767</v>
      </c>
      <c r="F45" s="812">
        <f t="shared" si="10"/>
        <v>407.31514959991944</v>
      </c>
      <c r="G45" s="813">
        <f t="shared" si="8"/>
        <v>130.49282731735966</v>
      </c>
      <c r="H45" s="814">
        <f>IF(ISERR(1/(VLOOKUP(A45,[1]!TOX,12,FALSE))),0,'[1]Target Risk'!$D$12/('GW-1 Exp'!$J$26*(VLOOKUP(A45,[1]!TOX,33,FALSE))*(VLOOKUP(A45,[1]!TOX,12,FALSE))))</f>
        <v>2.302592518562137</v>
      </c>
      <c r="I45" s="815">
        <f>IF(ISERR(1/(VLOOKUP(A45,[1]!TOX,12,FALSE))),0,IF(VLOOKUP(A45,[1]!TOX,36,FALSE)="M",'[1]Target Risk'!$D$12/(((('GW-1 Exp'!$J$33*(VLOOKUP(A45,[1]!TOX,33,FALSE))*(VLOOKUP(A45,[1]!TOX,12,FALSE))))*10)+((('GW-1 Exp'!$J$34*(VLOOKUP(A45,[1]!TOX,33,FALSE))*(VLOOKUP(A45,[1]!TOX,12,FALSE))))*3)+((('GW-1 Exp'!$J$35*(VLOOKUP(A45,[1]!TOX,33,FALSE))*(VLOOKUP(A45,[1]!TOX,12,FALSE))))*3)+((('GW-1 Exp'!$J$36*(VLOOKUP(A45,[1]!TOX,33,FALSE))*(VLOOKUP(A45,[1]!TOX,12,FALSE))))*1)),'[1]Target Risk'!$D$12/('GW-1 Exp'!$J$26*(VLOOKUP(A45,[1]!TOX,33,FALSE))*(VLOOKUP(A45,[1]!TOX,12,FALSE)))))</f>
        <v>2.302592518562137</v>
      </c>
      <c r="J45" s="812">
        <f t="shared" si="11"/>
        <v>3.4698045098928239</v>
      </c>
      <c r="K45" s="812">
        <f t="shared" si="12"/>
        <v>0.50530170949775244</v>
      </c>
      <c r="L45" s="815">
        <f t="shared" si="13"/>
        <v>0.37016343208069485</v>
      </c>
      <c r="M45" s="816">
        <f>IF(B45&lt;&gt;0,B45,IF((VLOOKUP(A45,[1]!TOX,44,FALSE))=0,O45,MIN(O45,(VLOOKUP(A45,[1]!TOX,44,FALSE)))))</f>
        <v>5</v>
      </c>
      <c r="N45" s="817" t="str">
        <f t="shared" si="16"/>
        <v>MMCL</v>
      </c>
      <c r="O45" s="818">
        <f t="shared" si="14"/>
        <v>0.37016343208069485</v>
      </c>
      <c r="P45" s="582">
        <f>IF($B45&lt;&gt;0,$B45,MIN(M45,(VLOOKUP(A45,[1]!TOX,79,FALSE))))</f>
        <v>5</v>
      </c>
      <c r="Q45" s="819">
        <f>IF($B45&lt;&gt;0,$B45,MAX($P45,(VLOOKUP(A45,[1]!TOX,40,FALSE)),(VLOOKUP(A45,[1]!TOX,51,FALSE))))</f>
        <v>5</v>
      </c>
      <c r="R45" s="820">
        <f t="shared" si="15"/>
        <v>5</v>
      </c>
      <c r="S45" s="821" t="str">
        <f>IF(Q45=M45,N45,IF(Q45=(VLOOKUP(A45,[1]!TOX,40,FALSE)),"Bckgrnd",IF(Q45=(VLOOKUP(A45,[1]!TOX,79,FALSE)),"Ceiling","PQL")))</f>
        <v>MMCL</v>
      </c>
    </row>
    <row r="46" spans="1:19" s="94" customFormat="1" ht="10" x14ac:dyDescent="0.25">
      <c r="A46" s="619" t="s">
        <v>197</v>
      </c>
      <c r="B46" s="822"/>
      <c r="C46" s="823"/>
      <c r="D46" s="812">
        <f>IF((VLOOKUP(A46,[1]!TOX,4,FALSE))=0,0,('[1]Target Risk'!$D$8*(VLOOKUP(A46,[1]!TOX,4,FALSE))/('GW-1 Exp'!$J$18*(VLOOKUP(A46,[1]!TOX,31,FALSE)))))</f>
        <v>0</v>
      </c>
      <c r="E46" s="812">
        <f t="shared" si="9"/>
        <v>0</v>
      </c>
      <c r="F46" s="812">
        <f t="shared" si="10"/>
        <v>0</v>
      </c>
      <c r="G46" s="813">
        <f t="shared" si="8"/>
        <v>0</v>
      </c>
      <c r="H46" s="814">
        <f>IF(ISERR(1/(VLOOKUP(A46,[1]!TOX,12,FALSE))),0,'[1]Target Risk'!$D$12/('GW-1 Exp'!$J$26*(VLOOKUP(A46,[1]!TOX,33,FALSE))*(VLOOKUP(A46,[1]!TOX,12,FALSE))))</f>
        <v>0.12280493432331398</v>
      </c>
      <c r="I46" s="815">
        <f>IF(ISERR(1/(VLOOKUP(A46,[1]!TOX,12,FALSE))),0,IF(VLOOKUP(A46,[1]!TOX,36,FALSE)="M",'[1]Target Risk'!$D$12/(((('GW-1 Exp'!$J$33*(VLOOKUP(A46,[1]!TOX,33,FALSE))*(VLOOKUP(A46,[1]!TOX,12,FALSE))))*10)+((('GW-1 Exp'!$J$34*(VLOOKUP(A46,[1]!TOX,33,FALSE))*(VLOOKUP(A46,[1]!TOX,12,FALSE))))*3)+((('GW-1 Exp'!$J$35*(VLOOKUP(A46,[1]!TOX,33,FALSE))*(VLOOKUP(A46,[1]!TOX,12,FALSE))))*3)+((('GW-1 Exp'!$J$36*(VLOOKUP(A46,[1]!TOX,33,FALSE))*(VLOOKUP(A46,[1]!TOX,12,FALSE))))*1)),'[1]Target Risk'!$D$12/('GW-1 Exp'!$J$26*(VLOOKUP(A46,[1]!TOX,33,FALSE))*(VLOOKUP(A46,[1]!TOX,12,FALSE)))))</f>
        <v>0.12280493432331398</v>
      </c>
      <c r="J46" s="812">
        <f t="shared" si="11"/>
        <v>0.29658299364331808</v>
      </c>
      <c r="K46" s="812">
        <f t="shared" si="12"/>
        <v>227805.0041009502</v>
      </c>
      <c r="L46" s="815">
        <f t="shared" si="13"/>
        <v>8.6845230255919281E-2</v>
      </c>
      <c r="M46" s="816">
        <f>IF(B46&lt;&gt;0,B46,IF((VLOOKUP(A46,[1]!TOX,44,FALSE))=0,O46,MIN(O46,(VLOOKUP(A46,[1]!TOX,44,FALSE)))))</f>
        <v>8.6845230255919281E-2</v>
      </c>
      <c r="N46" s="817" t="str">
        <f t="shared" si="16"/>
        <v>Cancer</v>
      </c>
      <c r="O46" s="818">
        <f t="shared" si="14"/>
        <v>8.6845230255919281E-2</v>
      </c>
      <c r="P46" s="582">
        <f>IF($B46&lt;&gt;0,$B46,MIN(M46,(VLOOKUP(A46,[1]!TOX,79,FALSE))))</f>
        <v>8.6845230255919281E-2</v>
      </c>
      <c r="Q46" s="819">
        <f>IF($B46&lt;&gt;0,$B46,MAX($P46,(VLOOKUP(A46,[1]!TOX,40,FALSE)),(VLOOKUP(A46,[1]!TOX,51,FALSE))))</f>
        <v>82.5</v>
      </c>
      <c r="R46" s="820">
        <f t="shared" si="15"/>
        <v>80</v>
      </c>
      <c r="S46" s="821" t="str">
        <f>IF(Q46=M46,N46,IF(Q46=(VLOOKUP(A46,[1]!TOX,40,FALSE)),"Bckgrnd",IF(Q46=(VLOOKUP(A46,[1]!TOX,79,FALSE)),"Ceiling","PQL")))</f>
        <v>PQL</v>
      </c>
    </row>
    <row r="47" spans="1:19" s="94" customFormat="1" ht="20" x14ac:dyDescent="0.25">
      <c r="A47" s="619" t="s">
        <v>198</v>
      </c>
      <c r="B47" s="822"/>
      <c r="C47" s="823"/>
      <c r="D47" s="812">
        <f>IF((VLOOKUP(A47,[1]!TOX,4,FALSE))=0,0,('[1]Target Risk'!$D$8*(VLOOKUP(A47,[1]!TOX,4,FALSE))/('GW-1 Exp'!$J$18*(VLOOKUP(A47,[1]!TOX,31,FALSE)))))</f>
        <v>1.6219436813186816</v>
      </c>
      <c r="E47" s="812">
        <f t="shared" si="9"/>
        <v>7.2987465659340671</v>
      </c>
      <c r="F47" s="812">
        <f t="shared" si="10"/>
        <v>38.643296774162557</v>
      </c>
      <c r="G47" s="813">
        <f t="shared" si="8"/>
        <v>1.2829859627547568</v>
      </c>
      <c r="H47" s="814">
        <f>IF(ISERR(1/(VLOOKUP(A47,[1]!TOX,12,FALSE))),0,'[1]Target Risk'!$D$12/('GW-1 Exp'!$J$26*(VLOOKUP(A47,[1]!TOX,33,FALSE))*(VLOOKUP(A47,[1]!TOX,12,FALSE))))</f>
        <v>0.23025925185621368</v>
      </c>
      <c r="I47" s="815">
        <f>IF(ISERR(1/(VLOOKUP(A47,[1]!TOX,12,FALSE))),0,IF(VLOOKUP(A47,[1]!TOX,36,FALSE)="M",'[1]Target Risk'!$D$12/(((('GW-1 Exp'!$J$33*(VLOOKUP(A47,[1]!TOX,33,FALSE))*(VLOOKUP(A47,[1]!TOX,12,FALSE))))*10)+((('GW-1 Exp'!$J$34*(VLOOKUP(A47,[1]!TOX,33,FALSE))*(VLOOKUP(A47,[1]!TOX,12,FALSE))))*3)+((('GW-1 Exp'!$J$35*(VLOOKUP(A47,[1]!TOX,33,FALSE))*(VLOOKUP(A47,[1]!TOX,12,FALSE))))*3)+((('GW-1 Exp'!$J$36*(VLOOKUP(A47,[1]!TOX,33,FALSE))*(VLOOKUP(A47,[1]!TOX,12,FALSE))))*1)),'[1]Target Risk'!$D$12/('GW-1 Exp'!$J$26*(VLOOKUP(A47,[1]!TOX,33,FALSE))*(VLOOKUP(A47,[1]!TOX,12,FALSE)))))</f>
        <v>0.23025925185621368</v>
      </c>
      <c r="J47" s="812">
        <f t="shared" si="11"/>
        <v>0.69077775556864096</v>
      </c>
      <c r="K47" s="812">
        <f t="shared" si="12"/>
        <v>2.1306487333830955</v>
      </c>
      <c r="L47" s="815">
        <f t="shared" si="13"/>
        <v>0.15974657702630618</v>
      </c>
      <c r="M47" s="816">
        <f>IF(B47&lt;&gt;0,B47,IF((VLOOKUP(A47,[1]!TOX,44,FALSE))=0,O47,MIN(O47,(VLOOKUP(A47,[1]!TOX,44,FALSE)))))</f>
        <v>0.15974657702630618</v>
      </c>
      <c r="N47" s="817" t="str">
        <f t="shared" si="16"/>
        <v>Cancer</v>
      </c>
      <c r="O47" s="818">
        <f t="shared" si="14"/>
        <v>0.15974657702630618</v>
      </c>
      <c r="P47" s="582">
        <f>IF($B47&lt;&gt;0,$B47,MIN(M47,(VLOOKUP(A47,[1]!TOX,79,FALSE))))</f>
        <v>0.15974657702630618</v>
      </c>
      <c r="Q47" s="819">
        <f>IF($B47&lt;&gt;0,$B47,MAX($P47,(VLOOKUP(A47,[1]!TOX,40,FALSE)),(VLOOKUP(A47,[1]!TOX,51,FALSE))))</f>
        <v>0.15974657702630618</v>
      </c>
      <c r="R47" s="820">
        <f t="shared" si="15"/>
        <v>0.2</v>
      </c>
      <c r="S47" s="821" t="str">
        <f>IF(Q47=M47,N47,IF(Q47=(VLOOKUP(A47,[1]!TOX,40,FALSE)),"Bckgrnd",IF(Q47=(VLOOKUP(A47,[1]!TOX,79,FALSE)),"Ceiling","PQL")))</f>
        <v>Cancer</v>
      </c>
    </row>
    <row r="48" spans="1:19" s="94" customFormat="1" ht="20" x14ac:dyDescent="0.25">
      <c r="A48" s="619" t="s">
        <v>199</v>
      </c>
      <c r="B48" s="822"/>
      <c r="C48" s="823"/>
      <c r="D48" s="812">
        <f>IF((VLOOKUP(A48,[1]!TOX,4,FALSE))=0,0,('[1]Target Risk'!$D$8*(VLOOKUP(A48,[1]!TOX,4,FALSE))/('GW-1 Exp'!$J$18*(VLOOKUP(A48,[1]!TOX,31,FALSE)))))</f>
        <v>1.6219436813186816</v>
      </c>
      <c r="E48" s="812">
        <f t="shared" si="9"/>
        <v>1.4597493131868133</v>
      </c>
      <c r="F48" s="812">
        <f t="shared" si="10"/>
        <v>7.0805618654344631</v>
      </c>
      <c r="G48" s="813">
        <f t="shared" si="8"/>
        <v>0.69308470819435053</v>
      </c>
      <c r="H48" s="814">
        <f>IF(ISERR(1/(VLOOKUP(A48,[1]!TOX,12,FALSE))),0,'[1]Target Risk'!$D$12/('GW-1 Exp'!$J$26*(VLOOKUP(A48,[1]!TOX,33,FALSE))*(VLOOKUP(A48,[1]!TOX,12,FALSE))))</f>
        <v>0.16253594248673905</v>
      </c>
      <c r="I48" s="815">
        <f>IF(ISERR(1/(VLOOKUP(A48,[1]!TOX,12,FALSE))),0,IF(VLOOKUP(A48,[1]!TOX,36,FALSE)="M",'[1]Target Risk'!$D$12/(((('GW-1 Exp'!$J$33*(VLOOKUP(A48,[1]!TOX,33,FALSE))*(VLOOKUP(A48,[1]!TOX,12,FALSE))))*10)+((('GW-1 Exp'!$J$34*(VLOOKUP(A48,[1]!TOX,33,FALSE))*(VLOOKUP(A48,[1]!TOX,12,FALSE))))*3)+((('GW-1 Exp'!$J$35*(VLOOKUP(A48,[1]!TOX,33,FALSE))*(VLOOKUP(A48,[1]!TOX,12,FALSE))))*3)+((('GW-1 Exp'!$J$36*(VLOOKUP(A48,[1]!TOX,33,FALSE))*(VLOOKUP(A48,[1]!TOX,12,FALSE))))*1)),'[1]Target Risk'!$D$12/('GW-1 Exp'!$J$26*(VLOOKUP(A48,[1]!TOX,33,FALSE))*(VLOOKUP(A48,[1]!TOX,12,FALSE)))))</f>
        <v>0.16253594248673905</v>
      </c>
      <c r="J48" s="812">
        <f t="shared" si="11"/>
        <v>9.7521565492043438E-2</v>
      </c>
      <c r="K48" s="812">
        <f t="shared" si="12"/>
        <v>0.27557367779757136</v>
      </c>
      <c r="L48" s="815">
        <f t="shared" si="13"/>
        <v>4.9911603744503562E-2</v>
      </c>
      <c r="M48" s="816">
        <f>IF(B48&lt;&gt;0,B48,IF((VLOOKUP(A48,[1]!TOX,44,FALSE))=0,O48,MIN(O48,(VLOOKUP(A48,[1]!TOX,44,FALSE)))))</f>
        <v>4.9911603744503562E-2</v>
      </c>
      <c r="N48" s="817" t="str">
        <f t="shared" si="16"/>
        <v>Cancer</v>
      </c>
      <c r="O48" s="818">
        <f t="shared" si="14"/>
        <v>4.9911603744503562E-2</v>
      </c>
      <c r="P48" s="582">
        <f>IF($B48&lt;&gt;0,$B48,MIN(M48,(VLOOKUP(A48,[1]!TOX,79,FALSE))))</f>
        <v>4.9911603744503562E-2</v>
      </c>
      <c r="Q48" s="819">
        <f>IF($B48&lt;&gt;0,$B48,MAX($P48,(VLOOKUP(A48,[1]!TOX,40,FALSE)),(VLOOKUP(A48,[1]!TOX,51,FALSE))))</f>
        <v>0.05</v>
      </c>
      <c r="R48" s="820">
        <f t="shared" si="15"/>
        <v>0.05</v>
      </c>
      <c r="S48" s="821" t="str">
        <f>IF(Q48=M48,N48,IF(Q48=(VLOOKUP(A48,[1]!TOX,40,FALSE)),"Bckgrnd",IF(Q48=(VLOOKUP(A48,[1]!TOX,79,FALSE)),"Ceiling","PQL")))</f>
        <v>PQL</v>
      </c>
    </row>
    <row r="49" spans="1:19" s="94" customFormat="1" ht="20" x14ac:dyDescent="0.25">
      <c r="A49" s="619" t="s">
        <v>200</v>
      </c>
      <c r="B49" s="822"/>
      <c r="C49" s="823"/>
      <c r="D49" s="812">
        <f>IF((VLOOKUP(A49,[1]!TOX,4,FALSE))=0,0,('[1]Target Risk'!$D$8*(VLOOKUP(A49,[1]!TOX,4,FALSE))/('GW-1 Exp'!$J$18*(VLOOKUP(A49,[1]!TOX,31,FALSE)))))</f>
        <v>1.6219436813186816</v>
      </c>
      <c r="E49" s="812">
        <f t="shared" si="9"/>
        <v>1.4597493131868133</v>
      </c>
      <c r="F49" s="812">
        <f t="shared" si="10"/>
        <v>32.484208389087073</v>
      </c>
      <c r="G49" s="813">
        <f t="shared" si="8"/>
        <v>0.75053801967564382</v>
      </c>
      <c r="H49" s="814">
        <f>IF(ISERR(1/(VLOOKUP(A49,[1]!TOX,12,FALSE))),0,'[1]Target Risk'!$D$12/('GW-1 Exp'!$J$26*(VLOOKUP(A49,[1]!TOX,33,FALSE))*(VLOOKUP(A49,[1]!TOX,12,FALSE))))</f>
        <v>0.16253594248673905</v>
      </c>
      <c r="I49" s="815">
        <f>IF(ISERR(1/(VLOOKUP(A49,[1]!TOX,12,FALSE))),0,IF(VLOOKUP(A49,[1]!TOX,36,FALSE)="M",'[1]Target Risk'!$D$12/(((('GW-1 Exp'!$J$33*(VLOOKUP(A49,[1]!TOX,33,FALSE))*(VLOOKUP(A49,[1]!TOX,12,FALSE))))*10)+((('GW-1 Exp'!$J$34*(VLOOKUP(A49,[1]!TOX,33,FALSE))*(VLOOKUP(A49,[1]!TOX,12,FALSE))))*3)+((('GW-1 Exp'!$J$35*(VLOOKUP(A49,[1]!TOX,33,FALSE))*(VLOOKUP(A49,[1]!TOX,12,FALSE))))*3)+((('GW-1 Exp'!$J$36*(VLOOKUP(A49,[1]!TOX,33,FALSE))*(VLOOKUP(A49,[1]!TOX,12,FALSE))))*1)),'[1]Target Risk'!$D$12/('GW-1 Exp'!$J$26*(VLOOKUP(A49,[1]!TOX,33,FALSE))*(VLOOKUP(A49,[1]!TOX,12,FALSE)))))</f>
        <v>0.16253594248673905</v>
      </c>
      <c r="J49" s="812">
        <f t="shared" si="11"/>
        <v>9.7521565492043438E-2</v>
      </c>
      <c r="K49" s="812">
        <f t="shared" si="12"/>
        <v>1.2661391476507933</v>
      </c>
      <c r="L49" s="815">
        <f t="shared" si="13"/>
        <v>5.8151604298950679E-2</v>
      </c>
      <c r="M49" s="816">
        <f>IF(B49&lt;&gt;0,B49,IF((VLOOKUP(A49,[1]!TOX,44,FALSE))=0,O49,MIN(O49,(VLOOKUP(A49,[1]!TOX,44,FALSE)))))</f>
        <v>5.8151604298950679E-2</v>
      </c>
      <c r="N49" s="817" t="str">
        <f t="shared" si="16"/>
        <v>Cancer</v>
      </c>
      <c r="O49" s="818">
        <f t="shared" si="14"/>
        <v>5.8151604298950679E-2</v>
      </c>
      <c r="P49" s="582">
        <f>IF($B49&lt;&gt;0,$B49,MIN(M49,(VLOOKUP(A49,[1]!TOX,79,FALSE))))</f>
        <v>5.8151604298950679E-2</v>
      </c>
      <c r="Q49" s="819">
        <f>IF($B49&lt;&gt;0,$B49,MAX($P49,(VLOOKUP(A49,[1]!TOX,40,FALSE)),(VLOOKUP(A49,[1]!TOX,51,FALSE))))</f>
        <v>0.3</v>
      </c>
      <c r="R49" s="820">
        <f t="shared" si="15"/>
        <v>0.3</v>
      </c>
      <c r="S49" s="821" t="str">
        <f>IF(Q49=M49,N49,IF(Q49=(VLOOKUP(A49,[1]!TOX,40,FALSE)),"Bckgrnd",IF(Q49=(VLOOKUP(A49,[1]!TOX,79,FALSE)),"Ceiling","PQL")))</f>
        <v>PQL</v>
      </c>
    </row>
    <row r="50" spans="1:19" s="94" customFormat="1" ht="10" x14ac:dyDescent="0.25">
      <c r="A50" s="619" t="s">
        <v>201</v>
      </c>
      <c r="B50" s="822">
        <v>70</v>
      </c>
      <c r="C50" s="823" t="s">
        <v>342</v>
      </c>
      <c r="D50" s="812">
        <f>IF((VLOOKUP(A50,[1]!TOX,4,FALSE))=0,0,('[1]Target Risk'!$D$8*(VLOOKUP(A50,[1]!TOX,4,FALSE))/('GW-1 Exp'!$J$18*(VLOOKUP(A50,[1]!TOX,31,FALSE)))))</f>
        <v>648.7774725274727</v>
      </c>
      <c r="E50" s="812">
        <f t="shared" si="9"/>
        <v>8420.1432889805947</v>
      </c>
      <c r="F50" s="812">
        <f t="shared" si="10"/>
        <v>335.44084414219822</v>
      </c>
      <c r="G50" s="813">
        <f t="shared" si="8"/>
        <v>215.45803944682976</v>
      </c>
      <c r="H50" s="814">
        <f>IF(ISERR(1/(VLOOKUP(A50,[1]!TOX,12,FALSE))),0,'[1]Target Risk'!$D$12/('GW-1 Exp'!$J$26*(VLOOKUP(A50,[1]!TOX,33,FALSE))*(VLOOKUP(A50,[1]!TOX,12,FALSE))))</f>
        <v>0</v>
      </c>
      <c r="I50" s="815">
        <f>IF(ISERR(1/(VLOOKUP(A50,[1]!TOX,12,FALSE))),0,IF(VLOOKUP(A50,[1]!TOX,36,FALSE)="M",'[1]Target Risk'!$D$12/(((('GW-1 Exp'!$J$33*(VLOOKUP(A50,[1]!TOX,33,FALSE))*(VLOOKUP(A50,[1]!TOX,12,FALSE))))*10)+((('GW-1 Exp'!$J$34*(VLOOKUP(A50,[1]!TOX,33,FALSE))*(VLOOKUP(A50,[1]!TOX,12,FALSE))))*3)+((('GW-1 Exp'!$J$35*(VLOOKUP(A50,[1]!TOX,33,FALSE))*(VLOOKUP(A50,[1]!TOX,12,FALSE))))*3)+((('GW-1 Exp'!$J$36*(VLOOKUP(A50,[1]!TOX,33,FALSE))*(VLOOKUP(A50,[1]!TOX,12,FALSE))))*1)),'[1]Target Risk'!$D$12/('GW-1 Exp'!$J$26*(VLOOKUP(A50,[1]!TOX,33,FALSE))*(VLOOKUP(A50,[1]!TOX,12,FALSE)))))</f>
        <v>0</v>
      </c>
      <c r="J50" s="812">
        <f t="shared" si="11"/>
        <v>0</v>
      </c>
      <c r="K50" s="812">
        <f t="shared" si="12"/>
        <v>0</v>
      </c>
      <c r="L50" s="815">
        <f t="shared" si="13"/>
        <v>0</v>
      </c>
      <c r="M50" s="816">
        <f>IF(B50&lt;&gt;0,B50,IF((VLOOKUP(A50,[1]!TOX,44,FALSE))=0,O50,MIN(O50,(VLOOKUP(A50,[1]!TOX,44,FALSE)))))</f>
        <v>70</v>
      </c>
      <c r="N50" s="817" t="str">
        <f t="shared" si="16"/>
        <v>ORSGL</v>
      </c>
      <c r="O50" s="818">
        <f t="shared" si="14"/>
        <v>215.45803944682976</v>
      </c>
      <c r="P50" s="582">
        <f>IF($B50&lt;&gt;0,$B50,MIN(M50,(VLOOKUP(A50,[1]!TOX,79,FALSE))))</f>
        <v>70</v>
      </c>
      <c r="Q50" s="819">
        <f>IF($B50&lt;&gt;0,$B50,MAX($P50,(VLOOKUP(A50,[1]!TOX,40,FALSE)),(VLOOKUP(A50,[1]!TOX,51,FALSE))))</f>
        <v>70</v>
      </c>
      <c r="R50" s="820">
        <f t="shared" si="15"/>
        <v>70</v>
      </c>
      <c r="S50" s="821" t="str">
        <f>IF(Q50=M50,N50,IF(Q50=(VLOOKUP(A50,[1]!TOX,40,FALSE)),"Bckgrnd",IF(Q50=(VLOOKUP(A50,[1]!TOX,79,FALSE)),"Ceiling","PQL")))</f>
        <v>ORSGL</v>
      </c>
    </row>
    <row r="51" spans="1:19" s="94" customFormat="1" ht="10" x14ac:dyDescent="0.25">
      <c r="A51" s="619" t="s">
        <v>202</v>
      </c>
      <c r="B51" s="822">
        <v>5</v>
      </c>
      <c r="C51" s="823" t="s">
        <v>341</v>
      </c>
      <c r="D51" s="812">
        <f>IF((VLOOKUP(A51,[1]!TOX,4,FALSE))=0,0,('[1]Target Risk'!$D$8*(VLOOKUP(A51,[1]!TOX,4,FALSE))/('GW-1 Exp'!$J$18*(VLOOKUP(A51,[1]!TOX,31,FALSE)))))</f>
        <v>64.877747252747255</v>
      </c>
      <c r="E51" s="812">
        <f t="shared" si="9"/>
        <v>3729.5653277429451</v>
      </c>
      <c r="F51" s="812">
        <f t="shared" si="10"/>
        <v>3.2850658541829652</v>
      </c>
      <c r="G51" s="813">
        <f t="shared" si="8"/>
        <v>3.1241249147417238</v>
      </c>
      <c r="H51" s="814">
        <f>IF(ISERR(1/(VLOOKUP(A51,[1]!TOX,12,FALSE))),0,'[1]Target Risk'!$D$12/('GW-1 Exp'!$J$26*(VLOOKUP(A51,[1]!TOX,33,FALSE))*(VLOOKUP(A51,[1]!TOX,12,FALSE))))</f>
        <v>0.60727714775265151</v>
      </c>
      <c r="I51" s="815">
        <f>IF(ISERR(1/(VLOOKUP(A51,[1]!TOX,12,FALSE))),0,IF(VLOOKUP(A51,[1]!TOX,36,FALSE)="M",'[1]Target Risk'!$D$12/(((('GW-1 Exp'!$J$33*(VLOOKUP(A51,[1]!TOX,33,FALSE))*(VLOOKUP(A51,[1]!TOX,12,FALSE))))*10)+((('GW-1 Exp'!$J$34*(VLOOKUP(A51,[1]!TOX,33,FALSE))*(VLOOKUP(A51,[1]!TOX,12,FALSE))))*3)+((('GW-1 Exp'!$J$35*(VLOOKUP(A51,[1]!TOX,33,FALSE))*(VLOOKUP(A51,[1]!TOX,12,FALSE))))*3)+((('GW-1 Exp'!$J$36*(VLOOKUP(A51,[1]!TOX,33,FALSE))*(VLOOKUP(A51,[1]!TOX,12,FALSE))))*1)),'[1]Target Risk'!$D$12/('GW-1 Exp'!$J$26*(VLOOKUP(A51,[1]!TOX,33,FALSE))*(VLOOKUP(A51,[1]!TOX,12,FALSE)))))</f>
        <v>0.60727714775265151</v>
      </c>
      <c r="J51" s="812">
        <f t="shared" si="11"/>
        <v>27.382610982582605</v>
      </c>
      <c r="K51" s="812">
        <f t="shared" si="12"/>
        <v>0.12283611731232665</v>
      </c>
      <c r="L51" s="815">
        <f t="shared" si="13"/>
        <v>0.10179005720351104</v>
      </c>
      <c r="M51" s="816">
        <f>IF(B51&lt;&gt;0,B51,IF((VLOOKUP(A51,[1]!TOX,44,FALSE))=0,O51,MIN(O51,(VLOOKUP(A51,[1]!TOX,44,FALSE)))))</f>
        <v>5</v>
      </c>
      <c r="N51" s="817" t="str">
        <f t="shared" si="16"/>
        <v>MMCL</v>
      </c>
      <c r="O51" s="818">
        <f t="shared" si="14"/>
        <v>0.10179005720351104</v>
      </c>
      <c r="P51" s="582">
        <f>IF($B51&lt;&gt;0,$B51,MIN(M51,(VLOOKUP(A51,[1]!TOX,79,FALSE))))</f>
        <v>5</v>
      </c>
      <c r="Q51" s="819">
        <f>IF($B51&lt;&gt;0,$B51,MAX($P51,(VLOOKUP(A51,[1]!TOX,40,FALSE)),(VLOOKUP(A51,[1]!TOX,51,FALSE))))</f>
        <v>5</v>
      </c>
      <c r="R51" s="820">
        <f t="shared" si="15"/>
        <v>5</v>
      </c>
      <c r="S51" s="821" t="str">
        <f>IF(Q51=M51,N51,IF(Q51=(VLOOKUP(A51,[1]!TOX,40,FALSE)),"Bckgrnd",IF(Q51=(VLOOKUP(A51,[1]!TOX,79,FALSE)),"Ceiling","PQL")))</f>
        <v>MMCL</v>
      </c>
    </row>
    <row r="52" spans="1:19" s="94" customFormat="1" ht="10" x14ac:dyDescent="0.25">
      <c r="A52" s="619" t="s">
        <v>203</v>
      </c>
      <c r="B52" s="822">
        <v>7</v>
      </c>
      <c r="C52" s="823" t="s">
        <v>341</v>
      </c>
      <c r="D52" s="812">
        <f>IF((VLOOKUP(A52,[1]!TOX,4,FALSE))=0,0,('[1]Target Risk'!$D$8*(VLOOKUP(A52,[1]!TOX,4,FALSE))/('GW-1 Exp'!$J$18*(VLOOKUP(A52,[1]!TOX,31,FALSE)))))</f>
        <v>162.19436813186817</v>
      </c>
      <c r="E52" s="812">
        <f t="shared" si="9"/>
        <v>4438.11168869208</v>
      </c>
      <c r="F52" s="812">
        <f t="shared" si="10"/>
        <v>81.177328591155003</v>
      </c>
      <c r="G52" s="813">
        <f t="shared" si="8"/>
        <v>53.448858072972577</v>
      </c>
      <c r="H52" s="814">
        <f>IF(ISERR(1/(VLOOKUP(A52,[1]!TOX,12,FALSE))),0,'[1]Target Risk'!$D$12/('GW-1 Exp'!$J$26*(VLOOKUP(A52,[1]!TOX,33,FALSE))*(VLOOKUP(A52,[1]!TOX,12,FALSE))))</f>
        <v>0</v>
      </c>
      <c r="I52" s="815">
        <f>IF(ISERR(1/(VLOOKUP(A52,[1]!TOX,12,FALSE))),0,IF(VLOOKUP(A52,[1]!TOX,36,FALSE)="M",'[1]Target Risk'!$D$12/(((('GW-1 Exp'!$J$33*(VLOOKUP(A52,[1]!TOX,33,FALSE))*(VLOOKUP(A52,[1]!TOX,12,FALSE))))*10)+((('GW-1 Exp'!$J$34*(VLOOKUP(A52,[1]!TOX,33,FALSE))*(VLOOKUP(A52,[1]!TOX,12,FALSE))))*3)+((('GW-1 Exp'!$J$35*(VLOOKUP(A52,[1]!TOX,33,FALSE))*(VLOOKUP(A52,[1]!TOX,12,FALSE))))*3)+((('GW-1 Exp'!$J$36*(VLOOKUP(A52,[1]!TOX,33,FALSE))*(VLOOKUP(A52,[1]!TOX,12,FALSE))))*1)),'[1]Target Risk'!$D$12/('GW-1 Exp'!$J$26*(VLOOKUP(A52,[1]!TOX,33,FALSE))*(VLOOKUP(A52,[1]!TOX,12,FALSE)))))</f>
        <v>0</v>
      </c>
      <c r="J52" s="812">
        <f t="shared" si="11"/>
        <v>0</v>
      </c>
      <c r="K52" s="812">
        <f t="shared" si="12"/>
        <v>0</v>
      </c>
      <c r="L52" s="815">
        <f t="shared" si="13"/>
        <v>0</v>
      </c>
      <c r="M52" s="816">
        <f>IF(B52&lt;&gt;0,B52,IF((VLOOKUP(A52,[1]!TOX,44,FALSE))=0,O52,MIN(O52,(VLOOKUP(A52,[1]!TOX,44,FALSE)))))</f>
        <v>7</v>
      </c>
      <c r="N52" s="817" t="str">
        <f t="shared" si="16"/>
        <v>MMCL</v>
      </c>
      <c r="O52" s="818">
        <f t="shared" si="14"/>
        <v>53.448858072972577</v>
      </c>
      <c r="P52" s="582">
        <f>IF($B52&lt;&gt;0,$B52,MIN(M52,(VLOOKUP(A52,[1]!TOX,79,FALSE))))</f>
        <v>7</v>
      </c>
      <c r="Q52" s="819">
        <f>IF($B52&lt;&gt;0,$B52,MAX($P52,(VLOOKUP(A52,[1]!TOX,40,FALSE)),(VLOOKUP(A52,[1]!TOX,51,FALSE))))</f>
        <v>7</v>
      </c>
      <c r="R52" s="820">
        <f t="shared" si="15"/>
        <v>7</v>
      </c>
      <c r="S52" s="821" t="str">
        <f>IF(Q52=M52,N52,IF(Q52=(VLOOKUP(A52,[1]!TOX,40,FALSE)),"Bckgrnd",IF(Q52=(VLOOKUP(A52,[1]!TOX,79,FALSE)),"Ceiling","PQL")))</f>
        <v>MMCL</v>
      </c>
    </row>
    <row r="53" spans="1:19" s="94" customFormat="1" ht="10" x14ac:dyDescent="0.25">
      <c r="A53" s="619" t="s">
        <v>204</v>
      </c>
      <c r="B53" s="822">
        <v>70</v>
      </c>
      <c r="C53" s="823" t="s">
        <v>341</v>
      </c>
      <c r="D53" s="812">
        <f>IF((VLOOKUP(A53,[1]!TOX,4,FALSE))=0,0,('[1]Target Risk'!$D$8*(VLOOKUP(A53,[1]!TOX,4,FALSE))/('GW-1 Exp'!$J$18*(VLOOKUP(A53,[1]!TOX,31,FALSE)))))</f>
        <v>6.4877747252747264</v>
      </c>
      <c r="E53" s="812">
        <f t="shared" si="9"/>
        <v>97.440051493455201</v>
      </c>
      <c r="F53" s="812">
        <f t="shared" si="10"/>
        <v>2.9476757868700729</v>
      </c>
      <c r="G53" s="813">
        <f t="shared" si="8"/>
        <v>1.9855093134854671</v>
      </c>
      <c r="H53" s="814">
        <f>IF(ISERR(1/(VLOOKUP(A53,[1]!TOX,12,FALSE))),0,'[1]Target Risk'!$D$12/('GW-1 Exp'!$J$26*(VLOOKUP(A53,[1]!TOX,33,FALSE))*(VLOOKUP(A53,[1]!TOX,12,FALSE))))</f>
        <v>0</v>
      </c>
      <c r="I53" s="815">
        <f>IF(ISERR(1/(VLOOKUP(A53,[1]!TOX,12,FALSE))),0,IF(VLOOKUP(A53,[1]!TOX,36,FALSE)="M",'[1]Target Risk'!$D$12/(((('GW-1 Exp'!$J$33*(VLOOKUP(A53,[1]!TOX,33,FALSE))*(VLOOKUP(A53,[1]!TOX,12,FALSE))))*10)+((('GW-1 Exp'!$J$34*(VLOOKUP(A53,[1]!TOX,33,FALSE))*(VLOOKUP(A53,[1]!TOX,12,FALSE))))*3)+((('GW-1 Exp'!$J$35*(VLOOKUP(A53,[1]!TOX,33,FALSE))*(VLOOKUP(A53,[1]!TOX,12,FALSE))))*3)+((('GW-1 Exp'!$J$36*(VLOOKUP(A53,[1]!TOX,33,FALSE))*(VLOOKUP(A53,[1]!TOX,12,FALSE))))*1)),'[1]Target Risk'!$D$12/('GW-1 Exp'!$J$26*(VLOOKUP(A53,[1]!TOX,33,FALSE))*(VLOOKUP(A53,[1]!TOX,12,FALSE)))))</f>
        <v>0</v>
      </c>
      <c r="J53" s="812">
        <f t="shared" si="11"/>
        <v>0</v>
      </c>
      <c r="K53" s="812">
        <f t="shared" si="12"/>
        <v>0</v>
      </c>
      <c r="L53" s="815">
        <f t="shared" si="13"/>
        <v>0</v>
      </c>
      <c r="M53" s="816">
        <f>IF(B53&lt;&gt;0,B53,IF((VLOOKUP(A53,[1]!TOX,44,FALSE))=0,O53,MIN(O53,(VLOOKUP(A53,[1]!TOX,44,FALSE)))))</f>
        <v>70</v>
      </c>
      <c r="N53" s="817" t="str">
        <f t="shared" si="16"/>
        <v>MMCL</v>
      </c>
      <c r="O53" s="818">
        <f t="shared" si="14"/>
        <v>1.9855093134854671</v>
      </c>
      <c r="P53" s="582">
        <f>IF($B53&lt;&gt;0,$B53,MIN(M53,(VLOOKUP(A53,[1]!TOX,79,FALSE))))</f>
        <v>70</v>
      </c>
      <c r="Q53" s="819">
        <f>IF($B53&lt;&gt;0,$B53,MAX($P53,(VLOOKUP(A53,[1]!TOX,40,FALSE)),(VLOOKUP(A53,[1]!TOX,51,FALSE))))</f>
        <v>70</v>
      </c>
      <c r="R53" s="820">
        <f t="shared" si="15"/>
        <v>70</v>
      </c>
      <c r="S53" s="821" t="str">
        <f>IF(Q53=M53,N53,IF(Q53=(VLOOKUP(A53,[1]!TOX,40,FALSE)),"Bckgrnd",IF(Q53=(VLOOKUP(A53,[1]!TOX,79,FALSE)),"Ceiling","PQL")))</f>
        <v>MMCL</v>
      </c>
    </row>
    <row r="54" spans="1:19" s="94" customFormat="1" ht="10" x14ac:dyDescent="0.25">
      <c r="A54" s="619" t="s">
        <v>205</v>
      </c>
      <c r="B54" s="822">
        <v>100</v>
      </c>
      <c r="C54" s="823" t="s">
        <v>341</v>
      </c>
      <c r="D54" s="812">
        <f>IF((VLOOKUP(A54,[1]!TOX,4,FALSE))=0,0,('[1]Target Risk'!$D$8*(VLOOKUP(A54,[1]!TOX,4,FALSE))/('GW-1 Exp'!$J$18*(VLOOKUP(A54,[1]!TOX,31,FALSE)))))</f>
        <v>64.877747252747255</v>
      </c>
      <c r="E54" s="812">
        <f t="shared" si="9"/>
        <v>590.1161560388415</v>
      </c>
      <c r="F54" s="812">
        <f t="shared" si="10"/>
        <v>28.763369104560187</v>
      </c>
      <c r="G54" s="813">
        <f t="shared" si="8"/>
        <v>19.277246309620459</v>
      </c>
      <c r="H54" s="814">
        <f>IF(ISERR(1/(VLOOKUP(A54,[1]!TOX,12,FALSE))),0,'[1]Target Risk'!$D$12/('GW-1 Exp'!$J$26*(VLOOKUP(A54,[1]!TOX,33,FALSE))*(VLOOKUP(A54,[1]!TOX,12,FALSE))))</f>
        <v>0</v>
      </c>
      <c r="I54" s="815">
        <f>IF(ISERR(1/(VLOOKUP(A54,[1]!TOX,12,FALSE))),0,IF(VLOOKUP(A54,[1]!TOX,36,FALSE)="M",'[1]Target Risk'!$D$12/(((('GW-1 Exp'!$J$33*(VLOOKUP(A54,[1]!TOX,33,FALSE))*(VLOOKUP(A54,[1]!TOX,12,FALSE))))*10)+((('GW-1 Exp'!$J$34*(VLOOKUP(A54,[1]!TOX,33,FALSE))*(VLOOKUP(A54,[1]!TOX,12,FALSE))))*3)+((('GW-1 Exp'!$J$35*(VLOOKUP(A54,[1]!TOX,33,FALSE))*(VLOOKUP(A54,[1]!TOX,12,FALSE))))*3)+((('GW-1 Exp'!$J$36*(VLOOKUP(A54,[1]!TOX,33,FALSE))*(VLOOKUP(A54,[1]!TOX,12,FALSE))))*1)),'[1]Target Risk'!$D$12/('GW-1 Exp'!$J$26*(VLOOKUP(A54,[1]!TOX,33,FALSE))*(VLOOKUP(A54,[1]!TOX,12,FALSE)))))</f>
        <v>0</v>
      </c>
      <c r="J54" s="812">
        <f t="shared" si="11"/>
        <v>0</v>
      </c>
      <c r="K54" s="812">
        <f t="shared" si="12"/>
        <v>0</v>
      </c>
      <c r="L54" s="815">
        <f t="shared" si="13"/>
        <v>0</v>
      </c>
      <c r="M54" s="816">
        <f>IF(B54&lt;&gt;0,B54,IF((VLOOKUP(A54,[1]!TOX,44,FALSE))=0,O54,MIN(O54,(VLOOKUP(A54,[1]!TOX,44,FALSE)))))</f>
        <v>100</v>
      </c>
      <c r="N54" s="817" t="str">
        <f t="shared" si="16"/>
        <v>MMCL</v>
      </c>
      <c r="O54" s="818">
        <f t="shared" si="14"/>
        <v>19.277246309620459</v>
      </c>
      <c r="P54" s="582">
        <f>IF($B54&lt;&gt;0,$B54,MIN(M54,(VLOOKUP(A54,[1]!TOX,79,FALSE))))</f>
        <v>100</v>
      </c>
      <c r="Q54" s="819">
        <f>IF($B54&lt;&gt;0,$B54,MAX($P54,(VLOOKUP(A54,[1]!TOX,40,FALSE)),(VLOOKUP(A54,[1]!TOX,51,FALSE))))</f>
        <v>100</v>
      </c>
      <c r="R54" s="820">
        <f t="shared" si="15"/>
        <v>100</v>
      </c>
      <c r="S54" s="821" t="str">
        <f>IF(Q54=M54,N54,IF(Q54=(VLOOKUP(A54,[1]!TOX,40,FALSE)),"Bckgrnd",IF(Q54=(VLOOKUP(A54,[1]!TOX,79,FALSE)),"Ceiling","PQL")))</f>
        <v>MMCL</v>
      </c>
    </row>
    <row r="55" spans="1:19" s="94" customFormat="1" ht="10" x14ac:dyDescent="0.25">
      <c r="A55" s="619" t="s">
        <v>206</v>
      </c>
      <c r="B55" s="822">
        <v>5</v>
      </c>
      <c r="C55" s="823" t="s">
        <v>341</v>
      </c>
      <c r="D55" s="812">
        <f>IF((VLOOKUP(A55,[1]!TOX,4,FALSE))=0,0,('[1]Target Risk'!$D$8*(VLOOKUP(A55,[1]!TOX,4,FALSE))/('GW-1 Exp'!$J$18*(VLOOKUP(A55,[1]!TOX,31,FALSE)))))</f>
        <v>19.46332417582418</v>
      </c>
      <c r="E55" s="812">
        <f t="shared" si="9"/>
        <v>699.16466827044667</v>
      </c>
      <c r="F55" s="812">
        <f t="shared" si="10"/>
        <v>243.2924587341995</v>
      </c>
      <c r="G55" s="813">
        <f t="shared" si="8"/>
        <v>17.568750992629692</v>
      </c>
      <c r="H55" s="814">
        <f>IF(ISERR(1/(VLOOKUP(A55,[1]!TOX,12,FALSE))),0,'[1]Target Risk'!$D$12/('GW-1 Exp'!$J$26*(VLOOKUP(A55,[1]!TOX,33,FALSE))*(VLOOKUP(A55,[1]!TOX,12,FALSE))))</f>
        <v>27.631110222745644</v>
      </c>
      <c r="I55" s="815">
        <f>IF(ISERR(1/(VLOOKUP(A55,[1]!TOX,12,FALSE))),0,IF(VLOOKUP(A55,[1]!TOX,36,FALSE)="M",'[1]Target Risk'!$D$12/(((('GW-1 Exp'!$J$33*(VLOOKUP(A55,[1]!TOX,33,FALSE))*(VLOOKUP(A55,[1]!TOX,12,FALSE))))*10)+((('GW-1 Exp'!$J$34*(VLOOKUP(A55,[1]!TOX,33,FALSE))*(VLOOKUP(A55,[1]!TOX,12,FALSE))))*3)+((('GW-1 Exp'!$J$35*(VLOOKUP(A55,[1]!TOX,33,FALSE))*(VLOOKUP(A55,[1]!TOX,12,FALSE))))*3)+((('GW-1 Exp'!$J$36*(VLOOKUP(A55,[1]!TOX,33,FALSE))*(VLOOKUP(A55,[1]!TOX,12,FALSE))))*1)),'[1]Target Risk'!$D$12/('GW-1 Exp'!$J$26*(VLOOKUP(A55,[1]!TOX,33,FALSE))*(VLOOKUP(A55,[1]!TOX,12,FALSE)))))</f>
        <v>7.6359770837869378</v>
      </c>
      <c r="J55" s="812">
        <f t="shared" si="11"/>
        <v>292.88662564789058</v>
      </c>
      <c r="K55" s="812">
        <f t="shared" si="12"/>
        <v>130.99400583563644</v>
      </c>
      <c r="L55" s="815">
        <f t="shared" si="13"/>
        <v>7.0418946023679281</v>
      </c>
      <c r="M55" s="816">
        <f>IF(B55&lt;&gt;0,B55,IF((VLOOKUP(A55,[1]!TOX,44,FALSE))=0,O55,MIN(O55,(VLOOKUP(A55,[1]!TOX,44,FALSE)))))</f>
        <v>5</v>
      </c>
      <c r="N55" s="817" t="str">
        <f t="shared" si="16"/>
        <v>MMCL</v>
      </c>
      <c r="O55" s="818">
        <f t="shared" si="14"/>
        <v>7.0418946023679281</v>
      </c>
      <c r="P55" s="582">
        <f>IF($B55&lt;&gt;0,$B55,MIN(M55,(VLOOKUP(A55,[1]!TOX,79,FALSE))))</f>
        <v>5</v>
      </c>
      <c r="Q55" s="819">
        <f>IF($B55&lt;&gt;0,$B55,MAX($P55,(VLOOKUP(A55,[1]!TOX,40,FALSE)),(VLOOKUP(A55,[1]!TOX,51,FALSE))))</f>
        <v>5</v>
      </c>
      <c r="R55" s="820">
        <f t="shared" si="15"/>
        <v>5</v>
      </c>
      <c r="S55" s="821" t="str">
        <f>IF(Q55=M55,N55,IF(Q55=(VLOOKUP(A55,[1]!TOX,40,FALSE)),"Bckgrnd",IF(Q55=(VLOOKUP(A55,[1]!TOX,79,FALSE)),"Ceiling","PQL")))</f>
        <v>MMCL</v>
      </c>
    </row>
    <row r="56" spans="1:19" s="94" customFormat="1" ht="10" x14ac:dyDescent="0.25">
      <c r="A56" s="619" t="s">
        <v>207</v>
      </c>
      <c r="B56" s="822"/>
      <c r="C56" s="823"/>
      <c r="D56" s="812">
        <f>IF((VLOOKUP(A56,[1]!TOX,4,FALSE))=0,0,('[1]Target Risk'!$D$8*(VLOOKUP(A56,[1]!TOX,4,FALSE))/('GW-1 Exp'!$J$18*(VLOOKUP(A56,[1]!TOX,31,FALSE)))))</f>
        <v>9.7316620879120901</v>
      </c>
      <c r="E56" s="812">
        <f t="shared" si="9"/>
        <v>36.927463520869168</v>
      </c>
      <c r="F56" s="812">
        <f t="shared" si="10"/>
        <v>201.17992489407041</v>
      </c>
      <c r="G56" s="813">
        <f t="shared" si="8"/>
        <v>7.4179485426838383</v>
      </c>
      <c r="H56" s="814">
        <f>IF(ISERR(1/(VLOOKUP(A56,[1]!TOX,12,FALSE))),0,'[1]Target Risk'!$D$12/('GW-1 Exp'!$J$26*(VLOOKUP(A56,[1]!TOX,33,FALSE))*(VLOOKUP(A56,[1]!TOX,12,FALSE))))</f>
        <v>0</v>
      </c>
      <c r="I56" s="815">
        <f>IF(ISERR(1/(VLOOKUP(A56,[1]!TOX,12,FALSE))),0,IF(VLOOKUP(A56,[1]!TOX,36,FALSE)="M",'[1]Target Risk'!$D$12/(((('GW-1 Exp'!$J$33*(VLOOKUP(A56,[1]!TOX,33,FALSE))*(VLOOKUP(A56,[1]!TOX,12,FALSE))))*10)+((('GW-1 Exp'!$J$34*(VLOOKUP(A56,[1]!TOX,33,FALSE))*(VLOOKUP(A56,[1]!TOX,12,FALSE))))*3)+((('GW-1 Exp'!$J$35*(VLOOKUP(A56,[1]!TOX,33,FALSE))*(VLOOKUP(A56,[1]!TOX,12,FALSE))))*3)+((('GW-1 Exp'!$J$36*(VLOOKUP(A56,[1]!TOX,33,FALSE))*(VLOOKUP(A56,[1]!TOX,12,FALSE))))*1)),'[1]Target Risk'!$D$12/('GW-1 Exp'!$J$26*(VLOOKUP(A56,[1]!TOX,33,FALSE))*(VLOOKUP(A56,[1]!TOX,12,FALSE)))))</f>
        <v>0</v>
      </c>
      <c r="J56" s="812">
        <f t="shared" si="11"/>
        <v>0</v>
      </c>
      <c r="K56" s="812">
        <f t="shared" si="12"/>
        <v>0</v>
      </c>
      <c r="L56" s="815">
        <f t="shared" si="13"/>
        <v>0</v>
      </c>
      <c r="M56" s="816">
        <f>IF(B56&lt;&gt;0,B56,IF((VLOOKUP(A56,[1]!TOX,44,FALSE))=0,O56,MIN(O56,(VLOOKUP(A56,[1]!TOX,44,FALSE)))))</f>
        <v>0.3</v>
      </c>
      <c r="N56" s="817" t="str">
        <f t="shared" si="16"/>
        <v>Odor</v>
      </c>
      <c r="O56" s="818">
        <f t="shared" si="14"/>
        <v>7.4179485426838383</v>
      </c>
      <c r="P56" s="582">
        <f>IF($B56&lt;&gt;0,$B56,MIN(M56,(VLOOKUP(A56,[1]!TOX,79,FALSE))))</f>
        <v>0.3</v>
      </c>
      <c r="Q56" s="819">
        <f>IF($B56&lt;&gt;0,$B56,MAX($P56,(VLOOKUP(A56,[1]!TOX,40,FALSE)),(VLOOKUP(A56,[1]!TOX,51,FALSE))))</f>
        <v>13.5</v>
      </c>
      <c r="R56" s="820">
        <f t="shared" si="15"/>
        <v>10</v>
      </c>
      <c r="S56" s="821" t="str">
        <f>IF(Q56=M56,N56,IF(Q56=(VLOOKUP(A56,[1]!TOX,40,FALSE)),"Bckgrnd",IF(Q56=(VLOOKUP(A56,[1]!TOX,79,FALSE)),"Ceiling","PQL")))</f>
        <v>PQL</v>
      </c>
    </row>
    <row r="57" spans="1:19" s="94" customFormat="1" ht="10" x14ac:dyDescent="0.25">
      <c r="A57" s="619" t="s">
        <v>208</v>
      </c>
      <c r="B57" s="822">
        <v>5</v>
      </c>
      <c r="C57" s="823" t="s">
        <v>341</v>
      </c>
      <c r="D57" s="812">
        <f>IF((VLOOKUP(A57,[1]!TOX,4,FALSE))=0,0,('[1]Target Risk'!$D$8*(VLOOKUP(A57,[1]!TOX,4,FALSE))/('GW-1 Exp'!$J$18*(VLOOKUP(A57,[1]!TOX,31,FALSE)))))</f>
        <v>129.75549450549451</v>
      </c>
      <c r="E57" s="812">
        <f t="shared" si="9"/>
        <v>1841.1459391915639</v>
      </c>
      <c r="F57" s="812">
        <f t="shared" si="10"/>
        <v>1.8186200192471509</v>
      </c>
      <c r="G57" s="813">
        <f t="shared" si="8"/>
        <v>1.7917376634841335</v>
      </c>
      <c r="H57" s="814">
        <f>IF(ISERR(1/(VLOOKUP(A57,[1]!TOX,12,FALSE))),0,'[1]Target Risk'!$D$12/('GW-1 Exp'!$J$26*(VLOOKUP(A57,[1]!TOX,33,FALSE))*(VLOOKUP(A57,[1]!TOX,12,FALSE))))</f>
        <v>1.4935735255538185</v>
      </c>
      <c r="I57" s="815">
        <f>IF(ISERR(1/(VLOOKUP(A57,[1]!TOX,12,FALSE))),0,IF(VLOOKUP(A57,[1]!TOX,36,FALSE)="M",'[1]Target Risk'!$D$12/(((('GW-1 Exp'!$J$33*(VLOOKUP(A57,[1]!TOX,33,FALSE))*(VLOOKUP(A57,[1]!TOX,12,FALSE))))*10)+((('GW-1 Exp'!$J$34*(VLOOKUP(A57,[1]!TOX,33,FALSE))*(VLOOKUP(A57,[1]!TOX,12,FALSE))))*3)+((('GW-1 Exp'!$J$35*(VLOOKUP(A57,[1]!TOX,33,FALSE))*(VLOOKUP(A57,[1]!TOX,12,FALSE))))*3)+((('GW-1 Exp'!$J$36*(VLOOKUP(A57,[1]!TOX,33,FALSE))*(VLOOKUP(A57,[1]!TOX,12,FALSE))))*1)),'[1]Target Risk'!$D$12/('GW-1 Exp'!$J$26*(VLOOKUP(A57,[1]!TOX,33,FALSE))*(VLOOKUP(A57,[1]!TOX,12,FALSE)))))</f>
        <v>1.4935735255538185</v>
      </c>
      <c r="J57" s="812">
        <f t="shared" si="11"/>
        <v>16.623195970890976</v>
      </c>
      <c r="K57" s="812">
        <f t="shared" si="12"/>
        <v>0.1628477504204984</v>
      </c>
      <c r="L57" s="815">
        <f t="shared" si="13"/>
        <v>0.1455519943664926</v>
      </c>
      <c r="M57" s="816">
        <f>IF(B57&lt;&gt;0,B57,IF((VLOOKUP(A57,[1]!TOX,44,FALSE))=0,O57,MIN(O57,(VLOOKUP(A57,[1]!TOX,44,FALSE)))))</f>
        <v>5</v>
      </c>
      <c r="N57" s="817" t="str">
        <f t="shared" si="16"/>
        <v>MMCL</v>
      </c>
      <c r="O57" s="818">
        <f t="shared" si="14"/>
        <v>0.1455519943664926</v>
      </c>
      <c r="P57" s="582">
        <f>IF($B57&lt;&gt;0,$B57,MIN(M57,(VLOOKUP(A57,[1]!TOX,79,FALSE))))</f>
        <v>5</v>
      </c>
      <c r="Q57" s="819">
        <f>IF($B57&lt;&gt;0,$B57,MAX($P57,(VLOOKUP(A57,[1]!TOX,40,FALSE)),(VLOOKUP(A57,[1]!TOX,51,FALSE))))</f>
        <v>5</v>
      </c>
      <c r="R57" s="820">
        <f t="shared" si="15"/>
        <v>5</v>
      </c>
      <c r="S57" s="821" t="str">
        <f>IF(Q57=M57,N57,IF(Q57=(VLOOKUP(A57,[1]!TOX,40,FALSE)),"Bckgrnd",IF(Q57=(VLOOKUP(A57,[1]!TOX,79,FALSE)),"Ceiling","PQL")))</f>
        <v>MMCL</v>
      </c>
    </row>
    <row r="58" spans="1:19" s="94" customFormat="1" ht="10" x14ac:dyDescent="0.25">
      <c r="A58" s="619" t="s">
        <v>209</v>
      </c>
      <c r="B58" s="822">
        <v>0.4</v>
      </c>
      <c r="C58" s="823" t="s">
        <v>342</v>
      </c>
      <c r="D58" s="812">
        <f>IF((VLOOKUP(A58,[1]!TOX,4,FALSE))=0,0,('[1]Target Risk'!$D$8*(VLOOKUP(A58,[1]!TOX,4,FALSE))/('GW-1 Exp'!$J$18*(VLOOKUP(A58,[1]!TOX,31,FALSE)))))</f>
        <v>97.31662087912089</v>
      </c>
      <c r="E58" s="812">
        <f t="shared" si="9"/>
        <v>1244.3698437104842</v>
      </c>
      <c r="F58" s="812">
        <f t="shared" si="10"/>
        <v>8.9159589668111341</v>
      </c>
      <c r="G58" s="813">
        <f t="shared" si="8"/>
        <v>8.1143940589053329</v>
      </c>
      <c r="H58" s="814">
        <f>IF(ISERR(1/(VLOOKUP(A58,[1]!TOX,12,FALSE))),0,'[1]Target Risk'!$D$12/('GW-1 Exp'!$J$26*(VLOOKUP(A58,[1]!TOX,33,FALSE))*(VLOOKUP(A58,[1]!TOX,12,FALSE))))</f>
        <v>0.55262220445491284</v>
      </c>
      <c r="I58" s="815">
        <f>IF(ISERR(1/(VLOOKUP(A58,[1]!TOX,12,FALSE))),0,IF(VLOOKUP(A58,[1]!TOX,36,FALSE)="M",'[1]Target Risk'!$D$12/(((('GW-1 Exp'!$J$33*(VLOOKUP(A58,[1]!TOX,33,FALSE))*(VLOOKUP(A58,[1]!TOX,12,FALSE))))*10)+((('GW-1 Exp'!$J$34*(VLOOKUP(A58,[1]!TOX,33,FALSE))*(VLOOKUP(A58,[1]!TOX,12,FALSE))))*3)+((('GW-1 Exp'!$J$35*(VLOOKUP(A58,[1]!TOX,33,FALSE))*(VLOOKUP(A58,[1]!TOX,12,FALSE))))*3)+((('GW-1 Exp'!$J$36*(VLOOKUP(A58,[1]!TOX,33,FALSE))*(VLOOKUP(A58,[1]!TOX,12,FALSE))))*1)),'[1]Target Risk'!$D$12/('GW-1 Exp'!$J$26*(VLOOKUP(A58,[1]!TOX,33,FALSE))*(VLOOKUP(A58,[1]!TOX,12,FALSE)))))</f>
        <v>0.55262220445491284</v>
      </c>
      <c r="J58" s="812">
        <f t="shared" si="11"/>
        <v>5.542634604402374</v>
      </c>
      <c r="K58" s="812">
        <f t="shared" si="12"/>
        <v>0.75845787078068971</v>
      </c>
      <c r="L58" s="815">
        <f t="shared" si="13"/>
        <v>0.30225735641892226</v>
      </c>
      <c r="M58" s="816">
        <f>IF(B58&lt;&gt;0,B58,IF((VLOOKUP(A58,[1]!TOX,44,FALSE))=0,O58,MIN(O58,(VLOOKUP(A58,[1]!TOX,44,FALSE)))))</f>
        <v>0.4</v>
      </c>
      <c r="N58" s="817" t="str">
        <f t="shared" si="16"/>
        <v>ORSGL</v>
      </c>
      <c r="O58" s="818">
        <f t="shared" si="14"/>
        <v>0.30225735641892226</v>
      </c>
      <c r="P58" s="582">
        <f>IF($B58&lt;&gt;0,$B58,MIN(M58,(VLOOKUP(A58,[1]!TOX,79,FALSE))))</f>
        <v>0.4</v>
      </c>
      <c r="Q58" s="819">
        <f>IF($B58&lt;&gt;0,$B58,MAX($P58,(VLOOKUP(A58,[1]!TOX,40,FALSE)),(VLOOKUP(A58,[1]!TOX,51,FALSE))))</f>
        <v>0.4</v>
      </c>
      <c r="R58" s="820">
        <f t="shared" si="15"/>
        <v>0.4</v>
      </c>
      <c r="S58" s="821" t="str">
        <f>IF(Q58=M58,N58,IF(Q58=(VLOOKUP(A58,[1]!TOX,40,FALSE)),"Bckgrnd",IF(Q58=(VLOOKUP(A58,[1]!TOX,79,FALSE)),"Ceiling","PQL")))</f>
        <v>ORSGL</v>
      </c>
    </row>
    <row r="59" spans="1:19" s="94" customFormat="1" ht="10" x14ac:dyDescent="0.25">
      <c r="A59" s="619" t="s">
        <v>210</v>
      </c>
      <c r="B59" s="822"/>
      <c r="C59" s="823"/>
      <c r="D59" s="812">
        <f>IF((VLOOKUP(A59,[1]!TOX,4,FALSE))=0,0,('[1]Target Risk'!$D$8*(VLOOKUP(A59,[1]!TOX,4,FALSE))/('GW-1 Exp'!$J$18*(VLOOKUP(A59,[1]!TOX,31,FALSE)))))</f>
        <v>0.16219436813186816</v>
      </c>
      <c r="E59" s="812">
        <f t="shared" si="9"/>
        <v>0.64877747252747264</v>
      </c>
      <c r="F59" s="812">
        <f t="shared" si="10"/>
        <v>2.8242390961659241</v>
      </c>
      <c r="G59" s="813">
        <f t="shared" si="8"/>
        <v>0.12405592809209137</v>
      </c>
      <c r="H59" s="814">
        <f>IF(ISERR(1/(VLOOKUP(A59,[1]!TOX,12,FALSE))),0,'[1]Target Risk'!$D$12/('GW-1 Exp'!$J$26*(VLOOKUP(A59,[1]!TOX,33,FALSE))*(VLOOKUP(A59,[1]!TOX,12,FALSE))))</f>
        <v>3.4538887778432052E-3</v>
      </c>
      <c r="I59" s="815">
        <f>IF(ISERR(1/(VLOOKUP(A59,[1]!TOX,12,FALSE))),0,IF(VLOOKUP(A59,[1]!TOX,36,FALSE)="M",'[1]Target Risk'!$D$12/(((('GW-1 Exp'!$J$33*(VLOOKUP(A59,[1]!TOX,33,FALSE))*(VLOOKUP(A59,[1]!TOX,12,FALSE))))*10)+((('GW-1 Exp'!$J$34*(VLOOKUP(A59,[1]!TOX,33,FALSE))*(VLOOKUP(A59,[1]!TOX,12,FALSE))))*3)+((('GW-1 Exp'!$J$35*(VLOOKUP(A59,[1]!TOX,33,FALSE))*(VLOOKUP(A59,[1]!TOX,12,FALSE))))*3)+((('GW-1 Exp'!$J$36*(VLOOKUP(A59,[1]!TOX,33,FALSE))*(VLOOKUP(A59,[1]!TOX,12,FALSE))))*1)),'[1]Target Risk'!$D$12/('GW-1 Exp'!$J$26*(VLOOKUP(A59,[1]!TOX,33,FALSE))*(VLOOKUP(A59,[1]!TOX,12,FALSE)))))</f>
        <v>3.4538887778432052E-3</v>
      </c>
      <c r="J59" s="812">
        <f t="shared" si="11"/>
        <v>1.3815555111372819E-2</v>
      </c>
      <c r="K59" s="812">
        <f t="shared" si="12"/>
        <v>2.3212638731331222E-2</v>
      </c>
      <c r="L59" s="815">
        <f t="shared" si="13"/>
        <v>2.4691914013267465E-3</v>
      </c>
      <c r="M59" s="816">
        <f>IF(B59&lt;&gt;0,B59,IF((VLOOKUP(A59,[1]!TOX,44,FALSE))=0,O59,MIN(O59,(VLOOKUP(A59,[1]!TOX,44,FALSE)))))</f>
        <v>2.4691914013267465E-3</v>
      </c>
      <c r="N59" s="817" t="str">
        <f t="shared" si="16"/>
        <v>Cancer</v>
      </c>
      <c r="O59" s="818">
        <f t="shared" si="14"/>
        <v>2.4691914013267465E-3</v>
      </c>
      <c r="P59" s="582">
        <f>IF($B59&lt;&gt;0,$B59,MIN(M59,(VLOOKUP(A59,[1]!TOX,79,FALSE))))</f>
        <v>2.4691914013267465E-3</v>
      </c>
      <c r="Q59" s="819">
        <f>IF($B59&lt;&gt;0,$B59,MAX($P59,(VLOOKUP(A59,[1]!TOX,40,FALSE)),(VLOOKUP(A59,[1]!TOX,51,FALSE))))</f>
        <v>0.1</v>
      </c>
      <c r="R59" s="820">
        <f t="shared" si="15"/>
        <v>0.1</v>
      </c>
      <c r="S59" s="821" t="str">
        <f>IF(Q59=M59,N59,IF(Q59=(VLOOKUP(A59,[1]!TOX,40,FALSE)),"Bckgrnd",IF(Q59=(VLOOKUP(A59,[1]!TOX,79,FALSE)),"Ceiling","PQL")))</f>
        <v>PQL</v>
      </c>
    </row>
    <row r="60" spans="1:19" s="94" customFormat="1" ht="10" x14ac:dyDescent="0.25">
      <c r="A60" s="619" t="s">
        <v>211</v>
      </c>
      <c r="B60" s="822"/>
      <c r="C60" s="823"/>
      <c r="D60" s="812">
        <f>IF((VLOOKUP(A60,[1]!TOX,4,FALSE))=0,0,('[1]Target Risk'!$D$8*(VLOOKUP(A60,[1]!TOX,4,FALSE))/('GW-1 Exp'!$J$18*(VLOOKUP(A60,[1]!TOX,31,FALSE)))))</f>
        <v>2595.1098901098908</v>
      </c>
      <c r="E60" s="812">
        <f t="shared" si="9"/>
        <v>38099.406467672066</v>
      </c>
      <c r="F60" s="812">
        <f t="shared" si="10"/>
        <v>527090.46160364116</v>
      </c>
      <c r="G60" s="813">
        <f t="shared" si="8"/>
        <v>2418.4705033396976</v>
      </c>
      <c r="H60" s="814">
        <f>IF(ISERR(1/(VLOOKUP(A60,[1]!TOX,12,FALSE))),0,'[1]Target Risk'!$D$12/('GW-1 Exp'!$J$26*(VLOOKUP(A60,[1]!TOX,33,FALSE))*(VLOOKUP(A60,[1]!TOX,12,FALSE))))</f>
        <v>0</v>
      </c>
      <c r="I60" s="815">
        <f>IF(ISERR(1/(VLOOKUP(A60,[1]!TOX,12,FALSE))),0,IF(VLOOKUP(A60,[1]!TOX,36,FALSE)="M",'[1]Target Risk'!$D$12/(((('GW-1 Exp'!$J$33*(VLOOKUP(A60,[1]!TOX,33,FALSE))*(VLOOKUP(A60,[1]!TOX,12,FALSE))))*10)+((('GW-1 Exp'!$J$34*(VLOOKUP(A60,[1]!TOX,33,FALSE))*(VLOOKUP(A60,[1]!TOX,12,FALSE))))*3)+((('GW-1 Exp'!$J$35*(VLOOKUP(A60,[1]!TOX,33,FALSE))*(VLOOKUP(A60,[1]!TOX,12,FALSE))))*3)+((('GW-1 Exp'!$J$36*(VLOOKUP(A60,[1]!TOX,33,FALSE))*(VLOOKUP(A60,[1]!TOX,12,FALSE))))*1)),'[1]Target Risk'!$D$12/('GW-1 Exp'!$J$26*(VLOOKUP(A60,[1]!TOX,33,FALSE))*(VLOOKUP(A60,[1]!TOX,12,FALSE)))))</f>
        <v>0</v>
      </c>
      <c r="J60" s="812">
        <f t="shared" si="11"/>
        <v>0</v>
      </c>
      <c r="K60" s="812">
        <f t="shared" si="12"/>
        <v>0</v>
      </c>
      <c r="L60" s="815">
        <f t="shared" si="13"/>
        <v>0</v>
      </c>
      <c r="M60" s="816">
        <f>IF(B60&lt;&gt;0,B60,IF((VLOOKUP(A60,[1]!TOX,44,FALSE))=0,O60,MIN(O60,(VLOOKUP(A60,[1]!TOX,44,FALSE)))))</f>
        <v>2418.4705033396976</v>
      </c>
      <c r="N60" s="817" t="str">
        <f t="shared" si="16"/>
        <v>Noncancer</v>
      </c>
      <c r="O60" s="818">
        <f t="shared" si="14"/>
        <v>2418.4705033396976</v>
      </c>
      <c r="P60" s="582">
        <f>IF($B60&lt;&gt;0,$B60,MIN(M60,(VLOOKUP(A60,[1]!TOX,79,FALSE))))</f>
        <v>2418.4705033396976</v>
      </c>
      <c r="Q60" s="819">
        <f>IF($B60&lt;&gt;0,$B60,MAX($P60,(VLOOKUP(A60,[1]!TOX,40,FALSE)),(VLOOKUP(A60,[1]!TOX,51,FALSE))))</f>
        <v>2418.4705033396976</v>
      </c>
      <c r="R60" s="820">
        <f t="shared" si="15"/>
        <v>2000</v>
      </c>
      <c r="S60" s="821" t="str">
        <f>IF(Q60=M60,N60,IF(Q60=(VLOOKUP(A60,[1]!TOX,40,FALSE)),"Bckgrnd",IF(Q60=(VLOOKUP(A60,[1]!TOX,79,FALSE)),"Ceiling","PQL")))</f>
        <v>Noncancer</v>
      </c>
    </row>
    <row r="61" spans="1:19" s="94" customFormat="1" ht="10" x14ac:dyDescent="0.25">
      <c r="A61" s="619" t="s">
        <v>212</v>
      </c>
      <c r="B61" s="822"/>
      <c r="C61" s="823"/>
      <c r="D61" s="812">
        <f>IF((VLOOKUP(A61,[1]!TOX,4,FALSE))=0,0,('[1]Target Risk'!$D$8*(VLOOKUP(A61,[1]!TOX,4,FALSE))/('GW-1 Exp'!$J$18*(VLOOKUP(A61,[1]!TOX,31,FALSE)))))</f>
        <v>324.38873626373635</v>
      </c>
      <c r="E61" s="812">
        <f t="shared" si="9"/>
        <v>13823.824865283297</v>
      </c>
      <c r="F61" s="812">
        <f t="shared" si="10"/>
        <v>217531.27157097287</v>
      </c>
      <c r="G61" s="813">
        <f t="shared" si="8"/>
        <v>316.49004801110971</v>
      </c>
      <c r="H61" s="814">
        <f>IF(ISERR(1/(VLOOKUP(A61,[1]!TOX,12,FALSE))),0,'[1]Target Risk'!$D$12/('GW-1 Exp'!$J$26*(VLOOKUP(A61,[1]!TOX,33,FALSE))*(VLOOKUP(A61,[1]!TOX,12,FALSE))))</f>
        <v>0</v>
      </c>
      <c r="I61" s="815">
        <f>IF(ISERR(1/(VLOOKUP(A61,[1]!TOX,12,FALSE))),0,IF(VLOOKUP(A61,[1]!TOX,36,FALSE)="M",'[1]Target Risk'!$D$12/(((('GW-1 Exp'!$J$33*(VLOOKUP(A61,[1]!TOX,33,FALSE))*(VLOOKUP(A61,[1]!TOX,12,FALSE))))*10)+((('GW-1 Exp'!$J$34*(VLOOKUP(A61,[1]!TOX,33,FALSE))*(VLOOKUP(A61,[1]!TOX,12,FALSE))))*3)+((('GW-1 Exp'!$J$35*(VLOOKUP(A61,[1]!TOX,33,FALSE))*(VLOOKUP(A61,[1]!TOX,12,FALSE))))*3)+((('GW-1 Exp'!$J$36*(VLOOKUP(A61,[1]!TOX,33,FALSE))*(VLOOKUP(A61,[1]!TOX,12,FALSE))))*1)),'[1]Target Risk'!$D$12/('GW-1 Exp'!$J$26*(VLOOKUP(A61,[1]!TOX,33,FALSE))*(VLOOKUP(A61,[1]!TOX,12,FALSE)))))</f>
        <v>0</v>
      </c>
      <c r="J61" s="812">
        <f t="shared" si="11"/>
        <v>0</v>
      </c>
      <c r="K61" s="812">
        <f t="shared" si="12"/>
        <v>0</v>
      </c>
      <c r="L61" s="815">
        <f t="shared" si="13"/>
        <v>0</v>
      </c>
      <c r="M61" s="816">
        <f>IF(B61&lt;&gt;0,B61,IF((VLOOKUP(A61,[1]!TOX,44,FALSE))=0,O61,MIN(O61,(VLOOKUP(A61,[1]!TOX,44,FALSE)))))</f>
        <v>316.49004801110971</v>
      </c>
      <c r="N61" s="817" t="str">
        <f t="shared" si="16"/>
        <v>Noncancer</v>
      </c>
      <c r="O61" s="818">
        <f t="shared" si="14"/>
        <v>316.49004801110971</v>
      </c>
      <c r="P61" s="582">
        <f>IF($B61&lt;&gt;0,$B61,MIN(M61,(VLOOKUP(A61,[1]!TOX,79,FALSE))))</f>
        <v>316.49004801110971</v>
      </c>
      <c r="Q61" s="819">
        <f>IF($B61&lt;&gt;0,$B61,MAX($P61,(VLOOKUP(A61,[1]!TOX,40,FALSE)),(VLOOKUP(A61,[1]!TOX,51,FALSE))))</f>
        <v>316.49004801110971</v>
      </c>
      <c r="R61" s="820">
        <f t="shared" si="15"/>
        <v>300</v>
      </c>
      <c r="S61" s="821" t="str">
        <f>IF(Q61=M61,N61,IF(Q61=(VLOOKUP(A61,[1]!TOX,40,FALSE)),"Bckgrnd",IF(Q61=(VLOOKUP(A61,[1]!TOX,79,FALSE)),"Ceiling","PQL")))</f>
        <v>Noncancer</v>
      </c>
    </row>
    <row r="62" spans="1:19" s="94" customFormat="1" ht="10" x14ac:dyDescent="0.25">
      <c r="A62" s="619" t="s">
        <v>213</v>
      </c>
      <c r="B62" s="822"/>
      <c r="C62" s="823"/>
      <c r="D62" s="812">
        <f>IF((VLOOKUP(A62,[1]!TOX,4,FALSE))=0,0,('[1]Target Risk'!$D$8*(VLOOKUP(A62,[1]!TOX,4,FALSE))/('GW-1 Exp'!$J$18*(VLOOKUP(A62,[1]!TOX,31,FALSE)))))</f>
        <v>64.877747252747255</v>
      </c>
      <c r="E62" s="812">
        <f t="shared" si="9"/>
        <v>599.87148579352015</v>
      </c>
      <c r="F62" s="812">
        <f t="shared" si="10"/>
        <v>6277.6936771311657</v>
      </c>
      <c r="G62" s="813">
        <f t="shared" si="8"/>
        <v>58.004898205599275</v>
      </c>
      <c r="H62" s="814">
        <f>IF(ISERR(1/(VLOOKUP(A62,[1]!TOX,12,FALSE))),0,'[1]Target Risk'!$D$12/('GW-1 Exp'!$J$26*(VLOOKUP(A62,[1]!TOX,33,FALSE))*(VLOOKUP(A62,[1]!TOX,12,FALSE))))</f>
        <v>0</v>
      </c>
      <c r="I62" s="815">
        <f>IF(ISERR(1/(VLOOKUP(A62,[1]!TOX,12,FALSE))),0,IF(VLOOKUP(A62,[1]!TOX,36,FALSE)="M",'[1]Target Risk'!$D$12/(((('GW-1 Exp'!$J$33*(VLOOKUP(A62,[1]!TOX,33,FALSE))*(VLOOKUP(A62,[1]!TOX,12,FALSE))))*10)+((('GW-1 Exp'!$J$34*(VLOOKUP(A62,[1]!TOX,33,FALSE))*(VLOOKUP(A62,[1]!TOX,12,FALSE))))*3)+((('GW-1 Exp'!$J$35*(VLOOKUP(A62,[1]!TOX,33,FALSE))*(VLOOKUP(A62,[1]!TOX,12,FALSE))))*3)+((('GW-1 Exp'!$J$36*(VLOOKUP(A62,[1]!TOX,33,FALSE))*(VLOOKUP(A62,[1]!TOX,12,FALSE))))*1)),'[1]Target Risk'!$D$12/('GW-1 Exp'!$J$26*(VLOOKUP(A62,[1]!TOX,33,FALSE))*(VLOOKUP(A62,[1]!TOX,12,FALSE)))))</f>
        <v>0</v>
      </c>
      <c r="J62" s="812">
        <f t="shared" si="11"/>
        <v>0</v>
      </c>
      <c r="K62" s="812">
        <f t="shared" si="12"/>
        <v>0</v>
      </c>
      <c r="L62" s="815">
        <f t="shared" si="13"/>
        <v>0</v>
      </c>
      <c r="M62" s="816">
        <f>IF(B62&lt;&gt;0,B62,IF((VLOOKUP(A62,[1]!TOX,44,FALSE))=0,O62,MIN(O62,(VLOOKUP(A62,[1]!TOX,44,FALSE)))))</f>
        <v>58.004898205599275</v>
      </c>
      <c r="N62" s="817" t="str">
        <f t="shared" si="16"/>
        <v>Noncancer</v>
      </c>
      <c r="O62" s="818">
        <f t="shared" si="14"/>
        <v>58.004898205599275</v>
      </c>
      <c r="P62" s="582">
        <f>IF($B62&lt;&gt;0,$B62,MIN(M62,(VLOOKUP(A62,[1]!TOX,79,FALSE))))</f>
        <v>58.004898205599275</v>
      </c>
      <c r="Q62" s="819">
        <f>IF($B62&lt;&gt;0,$B62,MAX($P62,(VLOOKUP(A62,[1]!TOX,40,FALSE)),(VLOOKUP(A62,[1]!TOX,51,FALSE))))</f>
        <v>58.004898205599275</v>
      </c>
      <c r="R62" s="820">
        <f t="shared" si="15"/>
        <v>60</v>
      </c>
      <c r="S62" s="821" t="str">
        <f>IF(Q62=M62,N62,IF(Q62=(VLOOKUP(A62,[1]!TOX,40,FALSE)),"Bckgrnd",IF(Q62=(VLOOKUP(A62,[1]!TOX,79,FALSE)),"Ceiling","PQL")))</f>
        <v>Noncancer</v>
      </c>
    </row>
    <row r="63" spans="1:19" s="94" customFormat="1" ht="10" x14ac:dyDescent="0.25">
      <c r="A63" s="619" t="s">
        <v>214</v>
      </c>
      <c r="B63" s="822"/>
      <c r="C63" s="823"/>
      <c r="D63" s="812">
        <f>IF((VLOOKUP(A63,[1]!TOX,4,FALSE))=0,0,('[1]Target Risk'!$D$8*(VLOOKUP(A63,[1]!TOX,4,FALSE))/('GW-1 Exp'!$J$18*(VLOOKUP(A63,[1]!TOX,31,FALSE)))))</f>
        <v>6.4877747252747264</v>
      </c>
      <c r="E63" s="812">
        <f t="shared" si="9"/>
        <v>233.05488942348228</v>
      </c>
      <c r="F63" s="812">
        <f t="shared" si="10"/>
        <v>8487.9498756951743</v>
      </c>
      <c r="G63" s="813">
        <f t="shared" si="8"/>
        <v>6.3073693297199931</v>
      </c>
      <c r="H63" s="814">
        <f>IF(ISERR(1/(VLOOKUP(A63,[1]!TOX,12,FALSE))),0,'[1]Target Risk'!$D$12/('GW-1 Exp'!$J$26*(VLOOKUP(A63,[1]!TOX,33,FALSE))*(VLOOKUP(A63,[1]!TOX,12,FALSE))))</f>
        <v>0</v>
      </c>
      <c r="I63" s="815">
        <f>IF(ISERR(1/(VLOOKUP(A63,[1]!TOX,12,FALSE))),0,IF(VLOOKUP(A63,[1]!TOX,36,FALSE)="M",'[1]Target Risk'!$D$12/(((('GW-1 Exp'!$J$33*(VLOOKUP(A63,[1]!TOX,33,FALSE))*(VLOOKUP(A63,[1]!TOX,12,FALSE))))*10)+((('GW-1 Exp'!$J$34*(VLOOKUP(A63,[1]!TOX,33,FALSE))*(VLOOKUP(A63,[1]!TOX,12,FALSE))))*3)+((('GW-1 Exp'!$J$35*(VLOOKUP(A63,[1]!TOX,33,FALSE))*(VLOOKUP(A63,[1]!TOX,12,FALSE))))*3)+((('GW-1 Exp'!$J$36*(VLOOKUP(A63,[1]!TOX,33,FALSE))*(VLOOKUP(A63,[1]!TOX,12,FALSE))))*1)),'[1]Target Risk'!$D$12/('GW-1 Exp'!$J$26*(VLOOKUP(A63,[1]!TOX,33,FALSE))*(VLOOKUP(A63,[1]!TOX,12,FALSE)))))</f>
        <v>0</v>
      </c>
      <c r="J63" s="812">
        <f t="shared" si="11"/>
        <v>0</v>
      </c>
      <c r="K63" s="812">
        <f t="shared" si="12"/>
        <v>0</v>
      </c>
      <c r="L63" s="815">
        <f t="shared" si="13"/>
        <v>0</v>
      </c>
      <c r="M63" s="816">
        <f>IF(B63&lt;&gt;0,B63,IF((VLOOKUP(A63,[1]!TOX,44,FALSE))=0,O63,MIN(O63,(VLOOKUP(A63,[1]!TOX,44,FALSE)))))</f>
        <v>6.3073693297199931</v>
      </c>
      <c r="N63" s="817" t="str">
        <f t="shared" si="16"/>
        <v>Noncancer</v>
      </c>
      <c r="O63" s="818">
        <f t="shared" si="14"/>
        <v>6.3073693297199931</v>
      </c>
      <c r="P63" s="582">
        <f>IF($B63&lt;&gt;0,$B63,MIN(M63,(VLOOKUP(A63,[1]!TOX,79,FALSE))))</f>
        <v>6.3073693297199931</v>
      </c>
      <c r="Q63" s="819">
        <f>IF($B63&lt;&gt;0,$B63,MAX($P63,(VLOOKUP(A63,[1]!TOX,40,FALSE)),(VLOOKUP(A63,[1]!TOX,51,FALSE))))</f>
        <v>210</v>
      </c>
      <c r="R63" s="820">
        <f t="shared" si="15"/>
        <v>200</v>
      </c>
      <c r="S63" s="821" t="str">
        <f>IF(Q63=M63,N63,IF(Q63=(VLOOKUP(A63,[1]!TOX,40,FALSE)),"Bckgrnd",IF(Q63=(VLOOKUP(A63,[1]!TOX,79,FALSE)),"Ceiling","PQL")))</f>
        <v>PQL</v>
      </c>
    </row>
    <row r="64" spans="1:19" s="94" customFormat="1" ht="10" x14ac:dyDescent="0.25">
      <c r="A64" s="619" t="s">
        <v>215</v>
      </c>
      <c r="B64" s="822"/>
      <c r="C64" s="823"/>
      <c r="D64" s="812">
        <f>IF((VLOOKUP(A64,[1]!TOX,4,FALSE))=0,0,('[1]Target Risk'!$D$8*(VLOOKUP(A64,[1]!TOX,4,FALSE))/('GW-1 Exp'!$J$18*(VLOOKUP(A64,[1]!TOX,31,FALSE)))))</f>
        <v>64.877747252747255</v>
      </c>
      <c r="E64" s="812">
        <f t="shared" si="9"/>
        <v>1292.7088682699048</v>
      </c>
      <c r="F64" s="812">
        <f t="shared" si="10"/>
        <v>13442.086988213827</v>
      </c>
      <c r="G64" s="813">
        <f t="shared" si="8"/>
        <v>61.494684654237446</v>
      </c>
      <c r="H64" s="814">
        <f>IF(ISERR(1/(VLOOKUP(A64,[1]!TOX,12,FALSE))),0,'[1]Target Risk'!$D$12/('GW-1 Exp'!$J$26*(VLOOKUP(A64,[1]!TOX,33,FALSE))*(VLOOKUP(A64,[1]!TOX,12,FALSE))))</f>
        <v>8.1267971243369527E-2</v>
      </c>
      <c r="I64" s="815">
        <f>IF(ISERR(1/(VLOOKUP(A64,[1]!TOX,12,FALSE))),0,IF(VLOOKUP(A64,[1]!TOX,36,FALSE)="M",'[1]Target Risk'!$D$12/(((('GW-1 Exp'!$J$33*(VLOOKUP(A64,[1]!TOX,33,FALSE))*(VLOOKUP(A64,[1]!TOX,12,FALSE))))*10)+((('GW-1 Exp'!$J$34*(VLOOKUP(A64,[1]!TOX,33,FALSE))*(VLOOKUP(A64,[1]!TOX,12,FALSE))))*3)+((('GW-1 Exp'!$J$35*(VLOOKUP(A64,[1]!TOX,33,FALSE))*(VLOOKUP(A64,[1]!TOX,12,FALSE))))*3)+((('GW-1 Exp'!$J$36*(VLOOKUP(A64,[1]!TOX,33,FALSE))*(VLOOKUP(A64,[1]!TOX,12,FALSE))))*1)),'[1]Target Risk'!$D$12/('GW-1 Exp'!$J$26*(VLOOKUP(A64,[1]!TOX,33,FALSE))*(VLOOKUP(A64,[1]!TOX,12,FALSE)))))</f>
        <v>8.1267971243369527E-2</v>
      </c>
      <c r="J64" s="812">
        <f t="shared" si="11"/>
        <v>1.2701348887028967</v>
      </c>
      <c r="K64" s="812">
        <f t="shared" si="12"/>
        <v>67.263766373245545</v>
      </c>
      <c r="L64" s="815">
        <f t="shared" si="13"/>
        <v>7.6294204708914057E-2</v>
      </c>
      <c r="M64" s="816">
        <f>IF(B64&lt;&gt;0,B64,IF((VLOOKUP(A64,[1]!TOX,44,FALSE))=0,O64,MIN(O64,(VLOOKUP(A64,[1]!TOX,44,FALSE)))))</f>
        <v>7.6294204708914057E-2</v>
      </c>
      <c r="N64" s="817" t="str">
        <f t="shared" si="16"/>
        <v>Cancer</v>
      </c>
      <c r="O64" s="818">
        <f t="shared" si="14"/>
        <v>7.6294204708914057E-2</v>
      </c>
      <c r="P64" s="582">
        <f>IF($B64&lt;&gt;0,$B64,MIN(M64,(VLOOKUP(A64,[1]!TOX,79,FALSE))))</f>
        <v>7.6294204708914057E-2</v>
      </c>
      <c r="Q64" s="819">
        <f>IF($B64&lt;&gt;0,$B64,MAX($P64,(VLOOKUP(A64,[1]!TOX,40,FALSE)),(VLOOKUP(A64,[1]!TOX,51,FALSE))))</f>
        <v>28.5</v>
      </c>
      <c r="R64" s="820">
        <f t="shared" si="15"/>
        <v>30</v>
      </c>
      <c r="S64" s="821" t="str">
        <f>IF(Q64=M64,N64,IF(Q64=(VLOOKUP(A64,[1]!TOX,40,FALSE)),"Bckgrnd",IF(Q64=(VLOOKUP(A64,[1]!TOX,79,FALSE)),"Ceiling","PQL")))</f>
        <v>PQL</v>
      </c>
    </row>
    <row r="65" spans="1:19" s="94" customFormat="1" ht="10" x14ac:dyDescent="0.25">
      <c r="A65" s="619" t="s">
        <v>343</v>
      </c>
      <c r="B65" s="822">
        <v>0.3</v>
      </c>
      <c r="C65" s="823" t="s">
        <v>342</v>
      </c>
      <c r="D65" s="812">
        <f>IF((VLOOKUP(A65,[1]!TOX,4,FALSE))=0,0,('[1]Target Risk'!$D$8*(VLOOKUP(A65,[1]!TOX,4,FALSE))/('GW-1 Exp'!$J$18*(VLOOKUP(A65,[1]!TOX,31,FALSE)))))</f>
        <v>97.31662087912089</v>
      </c>
      <c r="E65" s="812">
        <f t="shared" si="9"/>
        <v>35904.549157288871</v>
      </c>
      <c r="F65" s="812">
        <f t="shared" si="10"/>
        <v>461.93097320932537</v>
      </c>
      <c r="G65" s="813">
        <f t="shared" si="8"/>
        <v>80.202661135521666</v>
      </c>
      <c r="H65" s="814">
        <f>IF(ISERR(1/(VLOOKUP(A65,[1]!TOX,12,FALSE))),0,'[1]Target Risk'!$D$12/('GW-1 Exp'!$J$26*(VLOOKUP(A65,[1]!TOX,33,FALSE))*(VLOOKUP(A65,[1]!TOX,12,FALSE))))</f>
        <v>0.55262220445491284</v>
      </c>
      <c r="I65" s="815">
        <f>IF(ISERR(1/(VLOOKUP(A65,[1]!TOX,12,FALSE))),0,IF(VLOOKUP(A65,[1]!TOX,36,FALSE)="M",'[1]Target Risk'!$D$12/(((('GW-1 Exp'!$J$33*(VLOOKUP(A65,[1]!TOX,33,FALSE))*(VLOOKUP(A65,[1]!TOX,12,FALSE))))*10)+((('GW-1 Exp'!$J$34*(VLOOKUP(A65,[1]!TOX,33,FALSE))*(VLOOKUP(A65,[1]!TOX,12,FALSE))))*3)+((('GW-1 Exp'!$J$35*(VLOOKUP(A65,[1]!TOX,33,FALSE))*(VLOOKUP(A65,[1]!TOX,12,FALSE))))*3)+((('GW-1 Exp'!$J$36*(VLOOKUP(A65,[1]!TOX,33,FALSE))*(VLOOKUP(A65,[1]!TOX,12,FALSE))))*1)),'[1]Target Risk'!$D$12/('GW-1 Exp'!$J$26*(VLOOKUP(A65,[1]!TOX,33,FALSE))*(VLOOKUP(A65,[1]!TOX,12,FALSE)))))</f>
        <v>0.55262220445491284</v>
      </c>
      <c r="J65" s="812">
        <f t="shared" si="11"/>
        <v>159.92495930410553</v>
      </c>
      <c r="K65" s="812">
        <f t="shared" si="12"/>
        <v>20.957487351518047</v>
      </c>
      <c r="L65" s="815">
        <f t="shared" si="13"/>
        <v>0.53661798430828256</v>
      </c>
      <c r="M65" s="816">
        <f>IF(B65&lt;&gt;0,B65,IF((VLOOKUP(A65,[1]!TOX,44,FALSE))=0,O65,MIN(O65,(VLOOKUP(A65,[1]!TOX,44,FALSE)))))</f>
        <v>0.3</v>
      </c>
      <c r="N65" s="817" t="str">
        <f t="shared" si="16"/>
        <v>ORSGL</v>
      </c>
      <c r="O65" s="818">
        <f t="shared" si="14"/>
        <v>0.53661798430828256</v>
      </c>
      <c r="P65" s="582">
        <f>IF($B65&lt;&gt;0,$B65,MIN(M65,(VLOOKUP(A65,[1]!TOX,79,FALSE))))</f>
        <v>0.3</v>
      </c>
      <c r="Q65" s="819">
        <f>IF($B65&lt;&gt;0,$B65,MAX($P65,(VLOOKUP(A65,[1]!TOX,40,FALSE)),(VLOOKUP(A65,[1]!TOX,51,FALSE))))</f>
        <v>0.3</v>
      </c>
      <c r="R65" s="820">
        <f t="shared" si="15"/>
        <v>0.3</v>
      </c>
      <c r="S65" s="821" t="str">
        <f>IF(Q65=M65,N65,IF(Q65=(VLOOKUP(A65,[1]!TOX,40,FALSE)),"Bckgrnd",IF(Q65=(VLOOKUP(A65,[1]!TOX,79,FALSE)),"Ceiling","PQL")))</f>
        <v>ORSGL</v>
      </c>
    </row>
    <row r="66" spans="1:19" s="94" customFormat="1" ht="10" x14ac:dyDescent="0.25">
      <c r="A66" s="619" t="s">
        <v>216</v>
      </c>
      <c r="B66" s="822"/>
      <c r="C66" s="823"/>
      <c r="D66" s="812">
        <f>IF((VLOOKUP(A66,[1]!TOX,4,FALSE))=0,0,('[1]Target Risk'!$D$8*(VLOOKUP(A66,[1]!TOX,4,FALSE))/('GW-1 Exp'!$J$18*(VLOOKUP(A66,[1]!TOX,31,FALSE)))))</f>
        <v>19.46332417582418</v>
      </c>
      <c r="E66" s="812">
        <f t="shared" si="9"/>
        <v>97.31662087912089</v>
      </c>
      <c r="F66" s="812">
        <f t="shared" si="10"/>
        <v>65.030257979006507</v>
      </c>
      <c r="G66" s="813">
        <f t="shared" si="8"/>
        <v>12.981638428715392</v>
      </c>
      <c r="H66" s="814">
        <f>IF(ISERR(1/(VLOOKUP(A66,[1]!TOX,12,FALSE))),0,'[1]Target Risk'!$D$12/('GW-1 Exp'!$J$26*(VLOOKUP(A66,[1]!TOX,33,FALSE))*(VLOOKUP(A66,[1]!TOX,12,FALSE))))</f>
        <v>0</v>
      </c>
      <c r="I66" s="815">
        <f>IF(ISERR(1/(VLOOKUP(A66,[1]!TOX,12,FALSE))),0,IF(VLOOKUP(A66,[1]!TOX,36,FALSE)="M",'[1]Target Risk'!$D$12/(((('GW-1 Exp'!$J$33*(VLOOKUP(A66,[1]!TOX,33,FALSE))*(VLOOKUP(A66,[1]!TOX,12,FALSE))))*10)+((('GW-1 Exp'!$J$34*(VLOOKUP(A66,[1]!TOX,33,FALSE))*(VLOOKUP(A66,[1]!TOX,12,FALSE))))*3)+((('GW-1 Exp'!$J$35*(VLOOKUP(A66,[1]!TOX,33,FALSE))*(VLOOKUP(A66,[1]!TOX,12,FALSE))))*3)+((('GW-1 Exp'!$J$36*(VLOOKUP(A66,[1]!TOX,33,FALSE))*(VLOOKUP(A66,[1]!TOX,12,FALSE))))*1)),'[1]Target Risk'!$D$12/('GW-1 Exp'!$J$26*(VLOOKUP(A66,[1]!TOX,33,FALSE))*(VLOOKUP(A66,[1]!TOX,12,FALSE)))))</f>
        <v>0</v>
      </c>
      <c r="J66" s="812">
        <f t="shared" si="11"/>
        <v>0</v>
      </c>
      <c r="K66" s="812">
        <f t="shared" si="12"/>
        <v>0</v>
      </c>
      <c r="L66" s="815">
        <f t="shared" si="13"/>
        <v>0</v>
      </c>
      <c r="M66" s="816">
        <f>IF(B66&lt;&gt;0,B66,IF((VLOOKUP(A66,[1]!TOX,44,FALSE))=0,O66,MIN(O66,(VLOOKUP(A66,[1]!TOX,44,FALSE)))))</f>
        <v>12.981638428715392</v>
      </c>
      <c r="N66" s="817" t="str">
        <f t="shared" si="16"/>
        <v>Noncancer</v>
      </c>
      <c r="O66" s="818">
        <f t="shared" si="14"/>
        <v>12.981638428715392</v>
      </c>
      <c r="P66" s="582">
        <f>IF($B66&lt;&gt;0,$B66,MIN(M66,(VLOOKUP(A66,[1]!TOX,79,FALSE))))</f>
        <v>12.981638428715392</v>
      </c>
      <c r="Q66" s="819">
        <f>IF($B66&lt;&gt;0,$B66,MAX($P66,(VLOOKUP(A66,[1]!TOX,40,FALSE)),(VLOOKUP(A66,[1]!TOX,51,FALSE))))</f>
        <v>12.981638428715392</v>
      </c>
      <c r="R66" s="820">
        <f t="shared" si="15"/>
        <v>10</v>
      </c>
      <c r="S66" s="821" t="str">
        <f>IF(Q66=M66,N66,IF(Q66=(VLOOKUP(A66,[1]!TOX,40,FALSE)),"Bckgrnd",IF(Q66=(VLOOKUP(A66,[1]!TOX,79,FALSE)),"Ceiling","PQL")))</f>
        <v>Noncancer</v>
      </c>
    </row>
    <row r="67" spans="1:19" s="94" customFormat="1" ht="10" x14ac:dyDescent="0.25">
      <c r="A67" s="619" t="s">
        <v>217</v>
      </c>
      <c r="B67" s="822">
        <v>2</v>
      </c>
      <c r="C67" s="823" t="s">
        <v>341</v>
      </c>
      <c r="D67" s="812">
        <f>IF((VLOOKUP(A67,[1]!TOX,4,FALSE))=0,0,('[1]Target Risk'!$D$8*(VLOOKUP(A67,[1]!TOX,4,FALSE))/('GW-1 Exp'!$J$18*(VLOOKUP(A67,[1]!TOX,31,FALSE)))))</f>
        <v>0.97316620879120885</v>
      </c>
      <c r="E67" s="812">
        <f t="shared" si="9"/>
        <v>3.8926648351648354</v>
      </c>
      <c r="F67" s="812">
        <f t="shared" si="10"/>
        <v>26.702208246948935</v>
      </c>
      <c r="G67" s="813">
        <f t="shared" si="8"/>
        <v>0.75647702698253017</v>
      </c>
      <c r="H67" s="814">
        <f>IF(ISERR(1/(VLOOKUP(A67,[1]!TOX,12,FALSE))),0,'[1]Target Risk'!$D$12/('GW-1 Exp'!$J$26*(VLOOKUP(A67,[1]!TOX,33,FALSE))*(VLOOKUP(A67,[1]!TOX,12,FALSE))))</f>
        <v>0</v>
      </c>
      <c r="I67" s="815">
        <f>IF(ISERR(1/(VLOOKUP(A67,[1]!TOX,12,FALSE))),0,IF(VLOOKUP(A67,[1]!TOX,36,FALSE)="M",'[1]Target Risk'!$D$12/(((('GW-1 Exp'!$J$33*(VLOOKUP(A67,[1]!TOX,33,FALSE))*(VLOOKUP(A67,[1]!TOX,12,FALSE))))*10)+((('GW-1 Exp'!$J$34*(VLOOKUP(A67,[1]!TOX,33,FALSE))*(VLOOKUP(A67,[1]!TOX,12,FALSE))))*3)+((('GW-1 Exp'!$J$35*(VLOOKUP(A67,[1]!TOX,33,FALSE))*(VLOOKUP(A67,[1]!TOX,12,FALSE))))*3)+((('GW-1 Exp'!$J$36*(VLOOKUP(A67,[1]!TOX,33,FALSE))*(VLOOKUP(A67,[1]!TOX,12,FALSE))))*1)),'[1]Target Risk'!$D$12/('GW-1 Exp'!$J$26*(VLOOKUP(A67,[1]!TOX,33,FALSE))*(VLOOKUP(A67,[1]!TOX,12,FALSE)))))</f>
        <v>0</v>
      </c>
      <c r="J67" s="812">
        <f t="shared" si="11"/>
        <v>0</v>
      </c>
      <c r="K67" s="812">
        <f t="shared" si="12"/>
        <v>0</v>
      </c>
      <c r="L67" s="815">
        <f t="shared" si="13"/>
        <v>0</v>
      </c>
      <c r="M67" s="816">
        <f>IF(B67&lt;&gt;0,B67,IF((VLOOKUP(A67,[1]!TOX,44,FALSE))=0,O67,MIN(O67,(VLOOKUP(A67,[1]!TOX,44,FALSE)))))</f>
        <v>2</v>
      </c>
      <c r="N67" s="817" t="str">
        <f t="shared" si="16"/>
        <v>MMCL</v>
      </c>
      <c r="O67" s="818">
        <f t="shared" si="14"/>
        <v>0.75647702698253017</v>
      </c>
      <c r="P67" s="582">
        <f>IF($B67&lt;&gt;0,$B67,MIN(M67,(VLOOKUP(A67,[1]!TOX,79,FALSE))))</f>
        <v>2</v>
      </c>
      <c r="Q67" s="819">
        <f>IF($B67&lt;&gt;0,$B67,MAX($P67,(VLOOKUP(A67,[1]!TOX,40,FALSE)),(VLOOKUP(A67,[1]!TOX,51,FALSE))))</f>
        <v>2</v>
      </c>
      <c r="R67" s="820">
        <f t="shared" si="15"/>
        <v>2</v>
      </c>
      <c r="S67" s="821" t="str">
        <f>IF(Q67=M67,N67,IF(Q67=(VLOOKUP(A67,[1]!TOX,40,FALSE)),"Bckgrnd",IF(Q67=(VLOOKUP(A67,[1]!TOX,79,FALSE)),"Ceiling","PQL")))</f>
        <v>MMCL</v>
      </c>
    </row>
    <row r="68" spans="1:19" s="94" customFormat="1" ht="10" x14ac:dyDescent="0.25">
      <c r="A68" s="619" t="s">
        <v>218</v>
      </c>
      <c r="B68" s="822">
        <v>700</v>
      </c>
      <c r="C68" s="823" t="s">
        <v>341</v>
      </c>
      <c r="D68" s="812">
        <f>IF((VLOOKUP(A68,[1]!TOX,4,FALSE))=0,0,('[1]Target Risk'!$D$8*(VLOOKUP(A68,[1]!TOX,4,FALSE))/('GW-1 Exp'!$J$18*(VLOOKUP(A68,[1]!TOX,31,FALSE)))))</f>
        <v>162.19436813186817</v>
      </c>
      <c r="E68" s="812">
        <f t="shared" si="9"/>
        <v>371.70484966292003</v>
      </c>
      <c r="F68" s="812">
        <f t="shared" si="10"/>
        <v>426.15928245777212</v>
      </c>
      <c r="G68" s="813">
        <f t="shared" ref="G68:G129" si="17">IF(AND(D68=0,E68=0),F68,IF(AND(E68=0,F68=0),D68,IF(AND(D68=0,F68=0),E68,IF(E68=0,1/((1/D68)+(1/F68)),IF(D68=0,1/((1/E68)+(1/F68)),IF(F68=0,1/((1/D68)+(1/E68)),1/((1/D68)+(1/E68)+(1/F68))))))))</f>
        <v>89.267468463470124</v>
      </c>
      <c r="H68" s="814">
        <f>IF(ISERR(1/(VLOOKUP(A68,[1]!TOX,12,FALSE))),0,'[1]Target Risk'!$D$12/('GW-1 Exp'!$J$26*(VLOOKUP(A68,[1]!TOX,33,FALSE))*(VLOOKUP(A68,[1]!TOX,12,FALSE))))</f>
        <v>0</v>
      </c>
      <c r="I68" s="815">
        <f>IF(ISERR(1/(VLOOKUP(A68,[1]!TOX,12,FALSE))),0,IF(VLOOKUP(A68,[1]!TOX,36,FALSE)="M",'[1]Target Risk'!$D$12/(((('GW-1 Exp'!$J$33*(VLOOKUP(A68,[1]!TOX,33,FALSE))*(VLOOKUP(A68,[1]!TOX,12,FALSE))))*10)+((('GW-1 Exp'!$J$34*(VLOOKUP(A68,[1]!TOX,33,FALSE))*(VLOOKUP(A68,[1]!TOX,12,FALSE))))*3)+((('GW-1 Exp'!$J$35*(VLOOKUP(A68,[1]!TOX,33,FALSE))*(VLOOKUP(A68,[1]!TOX,12,FALSE))))*3)+((('GW-1 Exp'!$J$36*(VLOOKUP(A68,[1]!TOX,33,FALSE))*(VLOOKUP(A68,[1]!TOX,12,FALSE))))*1)),'[1]Target Risk'!$D$12/('GW-1 Exp'!$J$26*(VLOOKUP(A68,[1]!TOX,33,FALSE))*(VLOOKUP(A68,[1]!TOX,12,FALSE)))))</f>
        <v>0</v>
      </c>
      <c r="J68" s="812">
        <f t="shared" si="11"/>
        <v>0</v>
      </c>
      <c r="K68" s="812">
        <f t="shared" si="12"/>
        <v>0</v>
      </c>
      <c r="L68" s="815">
        <f t="shared" si="13"/>
        <v>0</v>
      </c>
      <c r="M68" s="816">
        <f>IF(B68&lt;&gt;0,B68,IF((VLOOKUP(A68,[1]!TOX,44,FALSE))=0,O68,MIN(O68,(VLOOKUP(A68,[1]!TOX,44,FALSE)))))</f>
        <v>700</v>
      </c>
      <c r="N68" s="817" t="str">
        <f t="shared" si="16"/>
        <v>MMCL</v>
      </c>
      <c r="O68" s="818">
        <f t="shared" si="14"/>
        <v>89.267468463470124</v>
      </c>
      <c r="P68" s="582">
        <f>IF($B68&lt;&gt;0,$B68,MIN(M68,(VLOOKUP(A68,[1]!TOX,79,FALSE))))</f>
        <v>700</v>
      </c>
      <c r="Q68" s="819">
        <f>IF($B68&lt;&gt;0,$B68,MAX($P68,(VLOOKUP(A68,[1]!TOX,40,FALSE)),(VLOOKUP(A68,[1]!TOX,51,FALSE))))</f>
        <v>700</v>
      </c>
      <c r="R68" s="820">
        <f t="shared" si="15"/>
        <v>700</v>
      </c>
      <c r="S68" s="821" t="str">
        <f>IF(Q68=M68,N68,IF(Q68=(VLOOKUP(A68,[1]!TOX,40,FALSE)),"Bckgrnd",IF(Q68=(VLOOKUP(A68,[1]!TOX,79,FALSE)),"Ceiling","PQL")))</f>
        <v>MMCL</v>
      </c>
    </row>
    <row r="69" spans="1:19" s="94" customFormat="1" ht="10" x14ac:dyDescent="0.25">
      <c r="A69" s="619" t="s">
        <v>283</v>
      </c>
      <c r="B69" s="822">
        <v>0.02</v>
      </c>
      <c r="C69" s="823" t="s">
        <v>341</v>
      </c>
      <c r="D69" s="812">
        <f>IF((VLOOKUP(A69,[1]!TOX,4,FALSE))=0,0,('[1]Target Risk'!$D$8*(VLOOKUP(A69,[1]!TOX,4,FALSE))/('GW-1 Exp'!$J$18*(VLOOKUP(A69,[1]!TOX,31,FALSE)))))</f>
        <v>29.194986263736265</v>
      </c>
      <c r="E69" s="812">
        <f t="shared" si="9"/>
        <v>692.5812542015309</v>
      </c>
      <c r="F69" s="812">
        <f t="shared" si="10"/>
        <v>6.1135225812326226</v>
      </c>
      <c r="G69" s="813">
        <f t="shared" si="17"/>
        <v>5.0183634963804513</v>
      </c>
      <c r="H69" s="814">
        <f>IF(ISERR(1/(VLOOKUP(A69,[1]!TOX,12,FALSE))),0,'[1]Target Risk'!$D$12/('GW-1 Exp'!$J$26*(VLOOKUP(A69,[1]!TOX,33,FALSE))*(VLOOKUP(A69,[1]!TOX,12,FALSE))))</f>
        <v>2.7631110222745642E-2</v>
      </c>
      <c r="I69" s="815">
        <f>IF(ISERR(1/(VLOOKUP(A69,[1]!TOX,12,FALSE))),0,IF(VLOOKUP(A69,[1]!TOX,36,FALSE)="M",'[1]Target Risk'!$D$12/(((('GW-1 Exp'!$J$33*(VLOOKUP(A69,[1]!TOX,33,FALSE))*(VLOOKUP(A69,[1]!TOX,12,FALSE))))*10)+((('GW-1 Exp'!$J$34*(VLOOKUP(A69,[1]!TOX,33,FALSE))*(VLOOKUP(A69,[1]!TOX,12,FALSE))))*3)+((('GW-1 Exp'!$J$35*(VLOOKUP(A69,[1]!TOX,33,FALSE))*(VLOOKUP(A69,[1]!TOX,12,FALSE))))*3)+((('GW-1 Exp'!$J$36*(VLOOKUP(A69,[1]!TOX,33,FALSE))*(VLOOKUP(A69,[1]!TOX,12,FALSE))))*1)),'[1]Target Risk'!$D$12/('GW-1 Exp'!$J$26*(VLOOKUP(A69,[1]!TOX,33,FALSE))*(VLOOKUP(A69,[1]!TOX,12,FALSE)))))</f>
        <v>2.7631110222745642E-2</v>
      </c>
      <c r="J69" s="812">
        <f t="shared" si="11"/>
        <v>0.51414575354481218</v>
      </c>
      <c r="K69" s="812">
        <f t="shared" si="12"/>
        <v>1.5409237358469394E-2</v>
      </c>
      <c r="L69" s="815">
        <f t="shared" si="13"/>
        <v>9.7057034411211999E-3</v>
      </c>
      <c r="M69" s="816">
        <f>IF(B69&lt;&gt;0,B69,IF((VLOOKUP(A69,[1]!TOX,44,FALSE))=0,O69,MIN(O69,(VLOOKUP(A69,[1]!TOX,44,FALSE)))))</f>
        <v>0.02</v>
      </c>
      <c r="N69" s="817" t="str">
        <f t="shared" si="16"/>
        <v>MMCL</v>
      </c>
      <c r="O69" s="818">
        <f t="shared" si="14"/>
        <v>9.7057034411211999E-3</v>
      </c>
      <c r="P69" s="582">
        <f>IF($B69&lt;&gt;0,$B69,MIN(M69,(VLOOKUP(A69,[1]!TOX,79,FALSE))))</f>
        <v>0.02</v>
      </c>
      <c r="Q69" s="819">
        <f>IF($B69&lt;&gt;0,$B69,MAX($P69,(VLOOKUP(A69,[1]!TOX,40,FALSE)),(VLOOKUP(A69,[1]!TOX,51,FALSE))))</f>
        <v>0.02</v>
      </c>
      <c r="R69" s="820">
        <f t="shared" si="15"/>
        <v>0.02</v>
      </c>
      <c r="S69" s="821" t="str">
        <f>IF(Q69=M69,N69,IF(Q69=(VLOOKUP(A69,[1]!TOX,40,FALSE)),"Bckgrnd",IF(Q69=(VLOOKUP(A69,[1]!TOX,79,FALSE)),"Ceiling","PQL")))</f>
        <v>MMCL</v>
      </c>
    </row>
    <row r="70" spans="1:19" s="94" customFormat="1" ht="10" x14ac:dyDescent="0.25">
      <c r="A70" s="619" t="s">
        <v>219</v>
      </c>
      <c r="B70" s="822"/>
      <c r="C70" s="823"/>
      <c r="D70" s="812">
        <f>IF((VLOOKUP(A70,[1]!TOX,4,FALSE))=0,0,('[1]Target Risk'!$D$8*(VLOOKUP(A70,[1]!TOX,4,FALSE))/('GW-1 Exp'!$J$18*(VLOOKUP(A70,[1]!TOX,31,FALSE)))))</f>
        <v>129.75549450549451</v>
      </c>
      <c r="E70" s="812">
        <f t="shared" si="9"/>
        <v>596.87527472527472</v>
      </c>
      <c r="F70" s="812">
        <f t="shared" si="10"/>
        <v>642.74514565011521</v>
      </c>
      <c r="G70" s="813">
        <f t="shared" si="17"/>
        <v>91.424214471264818</v>
      </c>
      <c r="H70" s="814">
        <f>IF(ISERR(1/(VLOOKUP(A70,[1]!TOX,12,FALSE))),0,'[1]Target Risk'!$D$12/('GW-1 Exp'!$J$26*(VLOOKUP(A70,[1]!TOX,33,FALSE))*(VLOOKUP(A70,[1]!TOX,12,FALSE))))</f>
        <v>0</v>
      </c>
      <c r="I70" s="815">
        <f>IF(ISERR(1/(VLOOKUP(A70,[1]!TOX,12,FALSE))),0,IF(VLOOKUP(A70,[1]!TOX,36,FALSE)="M",'[1]Target Risk'!$D$12/(((('GW-1 Exp'!$J$33*(VLOOKUP(A70,[1]!TOX,33,FALSE))*(VLOOKUP(A70,[1]!TOX,12,FALSE))))*10)+((('GW-1 Exp'!$J$34*(VLOOKUP(A70,[1]!TOX,33,FALSE))*(VLOOKUP(A70,[1]!TOX,12,FALSE))))*3)+((('GW-1 Exp'!$J$35*(VLOOKUP(A70,[1]!TOX,33,FALSE))*(VLOOKUP(A70,[1]!TOX,12,FALSE))))*3)+((('GW-1 Exp'!$J$36*(VLOOKUP(A70,[1]!TOX,33,FALSE))*(VLOOKUP(A70,[1]!TOX,12,FALSE))))*1)),'[1]Target Risk'!$D$12/('GW-1 Exp'!$J$26*(VLOOKUP(A70,[1]!TOX,33,FALSE))*(VLOOKUP(A70,[1]!TOX,12,FALSE)))))</f>
        <v>0</v>
      </c>
      <c r="J70" s="812">
        <f t="shared" si="11"/>
        <v>0</v>
      </c>
      <c r="K70" s="812">
        <f t="shared" si="12"/>
        <v>0</v>
      </c>
      <c r="L70" s="815">
        <f t="shared" si="13"/>
        <v>0</v>
      </c>
      <c r="M70" s="816">
        <f>IF(B70&lt;&gt;0,B70,IF((VLOOKUP(A70,[1]!TOX,44,FALSE))=0,O70,MIN(O70,(VLOOKUP(A70,[1]!TOX,44,FALSE)))))</f>
        <v>91.424214471264818</v>
      </c>
      <c r="N70" s="817" t="str">
        <f t="shared" si="16"/>
        <v>Noncancer</v>
      </c>
      <c r="O70" s="818">
        <f t="shared" si="14"/>
        <v>91.424214471264818</v>
      </c>
      <c r="P70" s="582">
        <f>IF($B70&lt;&gt;0,$B70,MIN(M70,(VLOOKUP(A70,[1]!TOX,79,FALSE))))</f>
        <v>91.424214471264818</v>
      </c>
      <c r="Q70" s="819">
        <f>IF($B70&lt;&gt;0,$B70,MAX($P70,(VLOOKUP(A70,[1]!TOX,40,FALSE)),(VLOOKUP(A70,[1]!TOX,51,FALSE))))</f>
        <v>91.424214471264818</v>
      </c>
      <c r="R70" s="820">
        <f t="shared" si="15"/>
        <v>90</v>
      </c>
      <c r="S70" s="821" t="str">
        <f>IF(Q70=M70,N70,IF(Q70=(VLOOKUP(A70,[1]!TOX,40,FALSE)),"Bckgrnd",IF(Q70=(VLOOKUP(A70,[1]!TOX,79,FALSE)),"Ceiling","PQL")))</f>
        <v>Noncancer</v>
      </c>
    </row>
    <row r="71" spans="1:19" s="94" customFormat="1" ht="10" x14ac:dyDescent="0.25">
      <c r="A71" s="619" t="s">
        <v>220</v>
      </c>
      <c r="B71" s="822"/>
      <c r="C71" s="823"/>
      <c r="D71" s="812">
        <f>IF((VLOOKUP(A71,[1]!TOX,4,FALSE))=0,0,('[1]Target Risk'!$D$8*(VLOOKUP(A71,[1]!TOX,4,FALSE))/('GW-1 Exp'!$J$18*(VLOOKUP(A71,[1]!TOX,31,FALSE)))))</f>
        <v>129.75549450549451</v>
      </c>
      <c r="E71" s="812">
        <f t="shared" ref="E71:E106" si="18">(VLOOKUP(A71,DWDERM,18,FALSE))</f>
        <v>596.87527472527472</v>
      </c>
      <c r="F71" s="812">
        <f t="shared" ref="F71:F104" si="19">(VLOOKUP(A71,DWInhale,13,FALSE))</f>
        <v>75.90739215642661</v>
      </c>
      <c r="G71" s="813">
        <f t="shared" si="17"/>
        <v>44.333822403178026</v>
      </c>
      <c r="H71" s="814">
        <f>IF(ISERR(1/(VLOOKUP(A71,[1]!TOX,12,FALSE))),0,'[1]Target Risk'!$D$12/('GW-1 Exp'!$J$26*(VLOOKUP(A71,[1]!TOX,33,FALSE))*(VLOOKUP(A71,[1]!TOX,12,FALSE))))</f>
        <v>0</v>
      </c>
      <c r="I71" s="815">
        <f>IF(ISERR(1/(VLOOKUP(A71,[1]!TOX,12,FALSE))),0,IF(VLOOKUP(A71,[1]!TOX,36,FALSE)="M",'[1]Target Risk'!$D$12/(((('GW-1 Exp'!$J$33*(VLOOKUP(A71,[1]!TOX,33,FALSE))*(VLOOKUP(A71,[1]!TOX,12,FALSE))))*10)+((('GW-1 Exp'!$J$34*(VLOOKUP(A71,[1]!TOX,33,FALSE))*(VLOOKUP(A71,[1]!TOX,12,FALSE))))*3)+((('GW-1 Exp'!$J$35*(VLOOKUP(A71,[1]!TOX,33,FALSE))*(VLOOKUP(A71,[1]!TOX,12,FALSE))))*3)+((('GW-1 Exp'!$J$36*(VLOOKUP(A71,[1]!TOX,33,FALSE))*(VLOOKUP(A71,[1]!TOX,12,FALSE))))*1)),'[1]Target Risk'!$D$12/('GW-1 Exp'!$J$26*(VLOOKUP(A71,[1]!TOX,33,FALSE))*(VLOOKUP(A71,[1]!TOX,12,FALSE)))))</f>
        <v>0</v>
      </c>
      <c r="J71" s="812">
        <f t="shared" ref="J71:J104" si="20">(VLOOKUP(A71,DWDERM,20,FALSE))</f>
        <v>0</v>
      </c>
      <c r="K71" s="812">
        <f t="shared" ref="K71:K104" si="21">(VLOOKUP(A71,DWInhale,14,FALSE))</f>
        <v>0</v>
      </c>
      <c r="L71" s="815">
        <f t="shared" ref="L71:L90" si="22">IF(AND(I71=0,J71=0),K71,IF(AND(J71=0,K71=0),I71,IF(AND(I71=0,K71=0),J71,IF(J71=0,1/((1/I71)+(1/K71)),IF(I71=0,1/((1/J71)+(1/K71)),IF(K71=0,1/((1/I71)+(1/J71)),1/((1/I71)+(1/J71)+(1/K71))))))))</f>
        <v>0</v>
      </c>
      <c r="M71" s="816">
        <f>IF(B71&lt;&gt;0,B71,IF((VLOOKUP(A71,[1]!TOX,44,FALSE))=0,O71,MIN(O71,(VLOOKUP(A71,[1]!TOX,44,FALSE)))))</f>
        <v>44.333822403178026</v>
      </c>
      <c r="N71" s="817" t="str">
        <f t="shared" ref="N71:N97" si="23">IF(M71=0,"Not Calculated",IF(M71=B71,C71,IF(M71=G71,"Noncancer",IF(M71=L71,"Cancer","Odor"))))</f>
        <v>Noncancer</v>
      </c>
      <c r="O71" s="818">
        <f t="shared" ref="O71:O99" si="24">IF(MIN(G71,L71)&lt;&gt;0,MIN(G71,L71),MAX(G71,L71))</f>
        <v>44.333822403178026</v>
      </c>
      <c r="P71" s="582">
        <f>IF($B71&lt;&gt;0,$B71,MIN(M71,(VLOOKUP(A71,[1]!TOX,79,FALSE))))</f>
        <v>44.333822403178026</v>
      </c>
      <c r="Q71" s="819">
        <f>IF($B71&lt;&gt;0,$B71,MAX($P71,(VLOOKUP(A71,[1]!TOX,40,FALSE)),(VLOOKUP(A71,[1]!TOX,51,FALSE))))</f>
        <v>44.333822403178026</v>
      </c>
      <c r="R71" s="820">
        <f t="shared" ref="R71:R97" si="25">IF(ISNUMBER(B71),Q71,ROUND(Q71,-INT(LOG10(ABS(Q71)))))</f>
        <v>40</v>
      </c>
      <c r="S71" s="821" t="str">
        <f>IF(Q71=M71,N71,IF(Q71=(VLOOKUP(A71,[1]!TOX,40,FALSE)),"Bckgrnd",IF(Q71=(VLOOKUP(A71,[1]!TOX,79,FALSE)),"Ceiling","PQL")))</f>
        <v>Noncancer</v>
      </c>
    </row>
    <row r="72" spans="1:19" s="94" customFormat="1" ht="10" x14ac:dyDescent="0.25">
      <c r="A72" s="619" t="s">
        <v>221</v>
      </c>
      <c r="B72" s="822">
        <v>0.4</v>
      </c>
      <c r="C72" s="823" t="s">
        <v>341</v>
      </c>
      <c r="D72" s="812">
        <f>IF((VLOOKUP(A72,[1]!TOX,4,FALSE))=0,0,('[1]Target Risk'!$D$8*(VLOOKUP(A72,[1]!TOX,4,FALSE))/('GW-1 Exp'!$J$18*(VLOOKUP(A72,[1]!TOX,31,FALSE)))))</f>
        <v>1.6219436813186816</v>
      </c>
      <c r="E72" s="812">
        <f t="shared" si="18"/>
        <v>5.3524141483516487</v>
      </c>
      <c r="F72" s="812">
        <f t="shared" si="19"/>
        <v>1.1930997558343461</v>
      </c>
      <c r="G72" s="813">
        <f t="shared" si="17"/>
        <v>0.60918825860316939</v>
      </c>
      <c r="H72" s="814">
        <f>IF(ISERR(1/(VLOOKUP(A72,[1]!TOX,12,FALSE))),0,'[1]Target Risk'!$D$12/('GW-1 Exp'!$J$26*(VLOOKUP(A72,[1]!TOX,33,FALSE))*(VLOOKUP(A72,[1]!TOX,12,FALSE))))</f>
        <v>1.2280493432331398E-2</v>
      </c>
      <c r="I72" s="815">
        <f>IF(ISERR(1/(VLOOKUP(A72,[1]!TOX,12,FALSE))),0,IF(VLOOKUP(A72,[1]!TOX,36,FALSE)="M",'[1]Target Risk'!$D$12/(((('GW-1 Exp'!$J$33*(VLOOKUP(A72,[1]!TOX,33,FALSE))*(VLOOKUP(A72,[1]!TOX,12,FALSE))))*10)+((('GW-1 Exp'!$J$34*(VLOOKUP(A72,[1]!TOX,33,FALSE))*(VLOOKUP(A72,[1]!TOX,12,FALSE))))*3)+((('GW-1 Exp'!$J$35*(VLOOKUP(A72,[1]!TOX,33,FALSE))*(VLOOKUP(A72,[1]!TOX,12,FALSE))))*3)+((('GW-1 Exp'!$J$36*(VLOOKUP(A72,[1]!TOX,33,FALSE))*(VLOOKUP(A72,[1]!TOX,12,FALSE))))*1)),'[1]Target Risk'!$D$12/('GW-1 Exp'!$J$26*(VLOOKUP(A72,[1]!TOX,33,FALSE))*(VLOOKUP(A72,[1]!TOX,12,FALSE)))))</f>
        <v>1.2280493432331398E-2</v>
      </c>
      <c r="J72" s="812">
        <f t="shared" si="20"/>
        <v>4.0525628326693604E-2</v>
      </c>
      <c r="K72" s="812">
        <f t="shared" si="21"/>
        <v>6.2457815858061897E-3</v>
      </c>
      <c r="L72" s="815">
        <f t="shared" si="22"/>
        <v>3.7563798305066103E-3</v>
      </c>
      <c r="M72" s="816">
        <f>IF(B72&lt;&gt;0,B72,IF((VLOOKUP(A72,[1]!TOX,44,FALSE))=0,O72,MIN(O72,(VLOOKUP(A72,[1]!TOX,44,FALSE)))))</f>
        <v>0.4</v>
      </c>
      <c r="N72" s="817" t="str">
        <f t="shared" si="23"/>
        <v>MMCL</v>
      </c>
      <c r="O72" s="818">
        <f t="shared" si="24"/>
        <v>3.7563798305066103E-3</v>
      </c>
      <c r="P72" s="582">
        <f>IF($B72&lt;&gt;0,$B72,MIN(M72,(VLOOKUP(A72,[1]!TOX,79,FALSE))))</f>
        <v>0.4</v>
      </c>
      <c r="Q72" s="819">
        <f>IF($B72&lt;&gt;0,$B72,MAX($P72,(VLOOKUP(A72,[1]!TOX,40,FALSE)),(VLOOKUP(A72,[1]!TOX,51,FALSE))))</f>
        <v>0.4</v>
      </c>
      <c r="R72" s="820">
        <f t="shared" si="25"/>
        <v>0.4</v>
      </c>
      <c r="S72" s="821" t="str">
        <f>IF(Q72=M72,N72,IF(Q72=(VLOOKUP(A72,[1]!TOX,40,FALSE)),"Bckgrnd",IF(Q72=(VLOOKUP(A72,[1]!TOX,79,FALSE)),"Ceiling","PQL")))</f>
        <v>MMCL</v>
      </c>
    </row>
    <row r="73" spans="1:19" s="94" customFormat="1" ht="10" x14ac:dyDescent="0.25">
      <c r="A73" s="619" t="s">
        <v>222</v>
      </c>
      <c r="B73" s="822">
        <v>0.2</v>
      </c>
      <c r="C73" s="823" t="s">
        <v>341</v>
      </c>
      <c r="D73" s="812">
        <f>IF((VLOOKUP(A73,[1]!TOX,4,FALSE))=0,0,('[1]Target Risk'!$D$8*(VLOOKUP(A73,[1]!TOX,4,FALSE))/('GW-1 Exp'!$J$18*(VLOOKUP(A73,[1]!TOX,31,FALSE)))))</f>
        <v>4.2170535714285723E-2</v>
      </c>
      <c r="E73" s="812">
        <f t="shared" si="18"/>
        <v>0.13916276785714288</v>
      </c>
      <c r="F73" s="812">
        <f t="shared" si="19"/>
        <v>0.3640625592584778</v>
      </c>
      <c r="G73" s="813">
        <f t="shared" si="17"/>
        <v>2.9721347584792789E-2</v>
      </c>
      <c r="H73" s="814">
        <f>IF(ISERR(1/(VLOOKUP(A73,[1]!TOX,12,FALSE))),0,'[1]Target Risk'!$D$12/('GW-1 Exp'!$J$26*(VLOOKUP(A73,[1]!TOX,33,FALSE))*(VLOOKUP(A73,[1]!TOX,12,FALSE))))</f>
        <v>6.0727714775265151E-3</v>
      </c>
      <c r="I73" s="815">
        <f>IF(ISERR(1/(VLOOKUP(A73,[1]!TOX,12,FALSE))),0,IF(VLOOKUP(A73,[1]!TOX,36,FALSE)="M",'[1]Target Risk'!$D$12/(((('GW-1 Exp'!$J$33*(VLOOKUP(A73,[1]!TOX,33,FALSE))*(VLOOKUP(A73,[1]!TOX,12,FALSE))))*10)+((('GW-1 Exp'!$J$34*(VLOOKUP(A73,[1]!TOX,33,FALSE))*(VLOOKUP(A73,[1]!TOX,12,FALSE))))*3)+((('GW-1 Exp'!$J$35*(VLOOKUP(A73,[1]!TOX,33,FALSE))*(VLOOKUP(A73,[1]!TOX,12,FALSE))))*3)+((('GW-1 Exp'!$J$36*(VLOOKUP(A73,[1]!TOX,33,FALSE))*(VLOOKUP(A73,[1]!TOX,12,FALSE))))*1)),'[1]Target Risk'!$D$12/('GW-1 Exp'!$J$26*(VLOOKUP(A73,[1]!TOX,33,FALSE))*(VLOOKUP(A73,[1]!TOX,12,FALSE)))))</f>
        <v>6.0727714775265151E-3</v>
      </c>
      <c r="J73" s="812">
        <f t="shared" si="20"/>
        <v>2.0040145875837499E-2</v>
      </c>
      <c r="K73" s="812">
        <f t="shared" si="21"/>
        <v>2.07156338624476E-2</v>
      </c>
      <c r="L73" s="815">
        <f t="shared" si="22"/>
        <v>3.8045667602374751E-3</v>
      </c>
      <c r="M73" s="816">
        <f>IF(B73&lt;&gt;0,B73,IF((VLOOKUP(A73,[1]!TOX,44,FALSE))=0,O73,MIN(O73,(VLOOKUP(A73,[1]!TOX,44,FALSE)))))</f>
        <v>0.2</v>
      </c>
      <c r="N73" s="817" t="str">
        <f t="shared" si="23"/>
        <v>MMCL</v>
      </c>
      <c r="O73" s="818">
        <f t="shared" si="24"/>
        <v>3.8045667602374751E-3</v>
      </c>
      <c r="P73" s="582">
        <f>IF($B73&lt;&gt;0,$B73,MIN(M73,(VLOOKUP(A73,[1]!TOX,79,FALSE))))</f>
        <v>0.2</v>
      </c>
      <c r="Q73" s="819">
        <f>IF($B73&lt;&gt;0,$B73,MAX($P73,(VLOOKUP(A73,[1]!TOX,40,FALSE)),(VLOOKUP(A73,[1]!TOX,51,FALSE))))</f>
        <v>0.2</v>
      </c>
      <c r="R73" s="820">
        <f t="shared" si="25"/>
        <v>0.2</v>
      </c>
      <c r="S73" s="821" t="str">
        <f>IF(Q73=M73,N73,IF(Q73=(VLOOKUP(A73,[1]!TOX,40,FALSE)),"Bckgrnd",IF(Q73=(VLOOKUP(A73,[1]!TOX,79,FALSE)),"Ceiling","PQL")))</f>
        <v>MMCL</v>
      </c>
    </row>
    <row r="74" spans="1:19" s="94" customFormat="1" ht="10" x14ac:dyDescent="0.25">
      <c r="A74" s="619" t="s">
        <v>223</v>
      </c>
      <c r="B74" s="822">
        <v>1</v>
      </c>
      <c r="C74" s="823" t="s">
        <v>341</v>
      </c>
      <c r="D74" s="812">
        <f>IF((VLOOKUP(A74,[1]!TOX,4,FALSE))=0,0,('[1]Target Risk'!$D$8*(VLOOKUP(A74,[1]!TOX,4,FALSE))/('GW-1 Exp'!$J$18*(VLOOKUP(A74,[1]!TOX,31,FALSE)))))</f>
        <v>3.2438873626373634E-2</v>
      </c>
      <c r="E74" s="812">
        <f t="shared" si="18"/>
        <v>0.12975549450549453</v>
      </c>
      <c r="F74" s="812">
        <f t="shared" si="19"/>
        <v>2.7627705935713041E-2</v>
      </c>
      <c r="G74" s="813">
        <f t="shared" si="17"/>
        <v>1.3381584963156256E-2</v>
      </c>
      <c r="H74" s="814">
        <f>IF(ISERR(1/(VLOOKUP(A74,[1]!TOX,12,FALSE))),0,'[1]Target Risk'!$D$12/('GW-1 Exp'!$J$26*(VLOOKUP(A74,[1]!TOX,33,FALSE))*(VLOOKUP(A74,[1]!TOX,12,FALSE))))</f>
        <v>3.4538887778432052E-2</v>
      </c>
      <c r="I74" s="815">
        <f>IF(ISERR(1/(VLOOKUP(A74,[1]!TOX,12,FALSE))),0,IF(VLOOKUP(A74,[1]!TOX,36,FALSE)="M",'[1]Target Risk'!$D$12/(((('GW-1 Exp'!$J$33*(VLOOKUP(A74,[1]!TOX,33,FALSE))*(VLOOKUP(A74,[1]!TOX,12,FALSE))))*10)+((('GW-1 Exp'!$J$34*(VLOOKUP(A74,[1]!TOX,33,FALSE))*(VLOOKUP(A74,[1]!TOX,12,FALSE))))*3)+((('GW-1 Exp'!$J$35*(VLOOKUP(A74,[1]!TOX,33,FALSE))*(VLOOKUP(A74,[1]!TOX,12,FALSE))))*3)+((('GW-1 Exp'!$J$36*(VLOOKUP(A74,[1]!TOX,33,FALSE))*(VLOOKUP(A74,[1]!TOX,12,FALSE))))*1)),'[1]Target Risk'!$D$12/('GW-1 Exp'!$J$26*(VLOOKUP(A74,[1]!TOX,33,FALSE))*(VLOOKUP(A74,[1]!TOX,12,FALSE)))))</f>
        <v>3.4538887778432052E-2</v>
      </c>
      <c r="J74" s="812">
        <f t="shared" si="20"/>
        <v>0.13815555111372818</v>
      </c>
      <c r="K74" s="812">
        <f t="shared" si="21"/>
        <v>1.0218340967636267E-2</v>
      </c>
      <c r="L74" s="815">
        <f t="shared" si="22"/>
        <v>7.4596618098944261E-3</v>
      </c>
      <c r="M74" s="816">
        <f>IF(B74&lt;&gt;0,B74,IF((VLOOKUP(A74,[1]!TOX,44,FALSE))=0,O74,MIN(O74,(VLOOKUP(A74,[1]!TOX,44,FALSE)))))</f>
        <v>1</v>
      </c>
      <c r="N74" s="817" t="str">
        <f t="shared" si="23"/>
        <v>MMCL</v>
      </c>
      <c r="O74" s="818">
        <f t="shared" si="24"/>
        <v>7.4596618098944261E-3</v>
      </c>
      <c r="P74" s="582">
        <f>IF($B74&lt;&gt;0,$B74,MIN(M74,(VLOOKUP(A74,[1]!TOX,79,FALSE))))</f>
        <v>1</v>
      </c>
      <c r="Q74" s="819">
        <f>IF($B74&lt;&gt;0,$B74,MAX($P74,(VLOOKUP(A74,[1]!TOX,40,FALSE)),(VLOOKUP(A74,[1]!TOX,51,FALSE))))</f>
        <v>1</v>
      </c>
      <c r="R74" s="820">
        <f t="shared" si="25"/>
        <v>1</v>
      </c>
      <c r="S74" s="821" t="str">
        <f>IF(Q74=M74,N74,IF(Q74=(VLOOKUP(A74,[1]!TOX,40,FALSE)),"Bckgrnd",IF(Q74=(VLOOKUP(A74,[1]!TOX,79,FALSE)),"Ceiling","PQL")))</f>
        <v>MMCL</v>
      </c>
    </row>
    <row r="75" spans="1:19" s="94" customFormat="1" ht="10" x14ac:dyDescent="0.25">
      <c r="A75" s="619" t="s">
        <v>224</v>
      </c>
      <c r="B75" s="822"/>
      <c r="C75" s="823"/>
      <c r="D75" s="812">
        <f>IF((VLOOKUP(A75,[1]!TOX,4,FALSE))=0,0,('[1]Target Risk'!$D$8*(VLOOKUP(A75,[1]!TOX,4,FALSE))/('GW-1 Exp'!$J$18*(VLOOKUP(A75,[1]!TOX,31,FALSE)))))</f>
        <v>3.2438873626373632</v>
      </c>
      <c r="E75" s="812">
        <f t="shared" si="18"/>
        <v>16.219436813186814</v>
      </c>
      <c r="F75" s="812">
        <f t="shared" si="19"/>
        <v>2.4197677633874317</v>
      </c>
      <c r="G75" s="813">
        <f t="shared" si="17"/>
        <v>1.276830468302796</v>
      </c>
      <c r="H75" s="814">
        <f>IF(ISERR(1/(VLOOKUP(A75,[1]!TOX,12,FALSE))),0,'[1]Target Risk'!$D$12/('GW-1 Exp'!$J$26*(VLOOKUP(A75,[1]!TOX,33,FALSE))*(VLOOKUP(A75,[1]!TOX,12,FALSE))))</f>
        <v>0.70849000571142673</v>
      </c>
      <c r="I75" s="815">
        <f>IF(ISERR(1/(VLOOKUP(A75,[1]!TOX,12,FALSE))),0,IF(VLOOKUP(A75,[1]!TOX,36,FALSE)="M",'[1]Target Risk'!$D$12/(((('GW-1 Exp'!$J$33*(VLOOKUP(A75,[1]!TOX,33,FALSE))*(VLOOKUP(A75,[1]!TOX,12,FALSE))))*10)+((('GW-1 Exp'!$J$34*(VLOOKUP(A75,[1]!TOX,33,FALSE))*(VLOOKUP(A75,[1]!TOX,12,FALSE))))*3)+((('GW-1 Exp'!$J$35*(VLOOKUP(A75,[1]!TOX,33,FALSE))*(VLOOKUP(A75,[1]!TOX,12,FALSE))))*3)+((('GW-1 Exp'!$J$36*(VLOOKUP(A75,[1]!TOX,33,FALSE))*(VLOOKUP(A75,[1]!TOX,12,FALSE))))*1)),'[1]Target Risk'!$D$12/('GW-1 Exp'!$J$26*(VLOOKUP(A75,[1]!TOX,33,FALSE))*(VLOOKUP(A75,[1]!TOX,12,FALSE)))))</f>
        <v>0.70849000571142673</v>
      </c>
      <c r="J75" s="812">
        <f t="shared" si="20"/>
        <v>3.5424500285571332</v>
      </c>
      <c r="K75" s="812">
        <f t="shared" si="21"/>
        <v>0.18713042457037837</v>
      </c>
      <c r="L75" s="815">
        <f t="shared" si="22"/>
        <v>0.14209370424026035</v>
      </c>
      <c r="M75" s="816">
        <f>IF(B75&lt;&gt;0,B75,IF((VLOOKUP(A75,[1]!TOX,44,FALSE))=0,O75,MIN(O75,(VLOOKUP(A75,[1]!TOX,44,FALSE)))))</f>
        <v>0.14209370424026035</v>
      </c>
      <c r="N75" s="817" t="str">
        <f t="shared" si="23"/>
        <v>Cancer</v>
      </c>
      <c r="O75" s="818">
        <f t="shared" si="24"/>
        <v>0.14209370424026035</v>
      </c>
      <c r="P75" s="582">
        <f>IF($B75&lt;&gt;0,$B75,MIN(M75,(VLOOKUP(A75,[1]!TOX,79,FALSE))))</f>
        <v>0.14209370424026035</v>
      </c>
      <c r="Q75" s="819">
        <f>IF($B75&lt;&gt;0,$B75,MAX($P75,(VLOOKUP(A75,[1]!TOX,40,FALSE)),(VLOOKUP(A75,[1]!TOX,51,FALSE))))</f>
        <v>0.55000000000000004</v>
      </c>
      <c r="R75" s="820">
        <f t="shared" si="25"/>
        <v>0.6</v>
      </c>
      <c r="S75" s="821" t="str">
        <f>IF(Q75=M75,N75,IF(Q75=(VLOOKUP(A75,[1]!TOX,40,FALSE)),"Bckgrnd",IF(Q75=(VLOOKUP(A75,[1]!TOX,79,FALSE)),"Ceiling","PQL")))</f>
        <v>PQL</v>
      </c>
    </row>
    <row r="76" spans="1:19" s="94" customFormat="1" ht="20" x14ac:dyDescent="0.25">
      <c r="A76" s="619" t="s">
        <v>225</v>
      </c>
      <c r="B76" s="822">
        <v>0.2</v>
      </c>
      <c r="C76" s="823" t="s">
        <v>341</v>
      </c>
      <c r="D76" s="812">
        <f>IF((VLOOKUP(A76,[1]!TOX,4,FALSE))=0,0,('[1]Target Risk'!$D$8*(VLOOKUP(A76,[1]!TOX,4,FALSE))/('GW-1 Exp'!$J$18*(VLOOKUP(A76,[1]!TOX,31,FALSE)))))</f>
        <v>0.97316620879120885</v>
      </c>
      <c r="E76" s="812">
        <f t="shared" si="18"/>
        <v>3.4348436110478415</v>
      </c>
      <c r="F76" s="812">
        <f t="shared" si="19"/>
        <v>28.730320140801432</v>
      </c>
      <c r="G76" s="813">
        <f t="shared" si="17"/>
        <v>0.73881751541773444</v>
      </c>
      <c r="H76" s="814">
        <f>IF(ISERR(1/(VLOOKUP(A76,[1]!TOX,12,FALSE))),0,'[1]Target Risk'!$D$12/('GW-1 Exp'!$J$26*(VLOOKUP(A76,[1]!TOX,33,FALSE))*(VLOOKUP(A76,[1]!TOX,12,FALSE))))</f>
        <v>4.2509400342685605E-2</v>
      </c>
      <c r="I76" s="815">
        <f>IF(ISERR(1/(VLOOKUP(A76,[1]!TOX,12,FALSE))),0,IF(VLOOKUP(A76,[1]!TOX,36,FALSE)="M",'[1]Target Risk'!$D$12/(((('GW-1 Exp'!$J$33*(VLOOKUP(A76,[1]!TOX,33,FALSE))*(VLOOKUP(A76,[1]!TOX,12,FALSE))))*10)+((('GW-1 Exp'!$J$34*(VLOOKUP(A76,[1]!TOX,33,FALSE))*(VLOOKUP(A76,[1]!TOX,12,FALSE))))*3)+((('GW-1 Exp'!$J$35*(VLOOKUP(A76,[1]!TOX,33,FALSE))*(VLOOKUP(A76,[1]!TOX,12,FALSE))))*3)+((('GW-1 Exp'!$J$36*(VLOOKUP(A76,[1]!TOX,33,FALSE))*(VLOOKUP(A76,[1]!TOX,12,FALSE))))*1)),'[1]Target Risk'!$D$12/('GW-1 Exp'!$J$26*(VLOOKUP(A76,[1]!TOX,33,FALSE))*(VLOOKUP(A76,[1]!TOX,12,FALSE)))))</f>
        <v>4.2509400342685605E-2</v>
      </c>
      <c r="J76" s="812">
        <f t="shared" si="20"/>
        <v>0.11768751348650545</v>
      </c>
      <c r="K76" s="812">
        <f t="shared" si="21"/>
        <v>0.47854839131343013</v>
      </c>
      <c r="L76" s="815">
        <f t="shared" si="22"/>
        <v>2.9316108349492345E-2</v>
      </c>
      <c r="M76" s="816">
        <f>IF(B76&lt;&gt;0,B76,IF((VLOOKUP(A76,[1]!TOX,44,FALSE))=0,O76,MIN(O76,(VLOOKUP(A76,[1]!TOX,44,FALSE)))))</f>
        <v>0.2</v>
      </c>
      <c r="N76" s="817" t="str">
        <f t="shared" si="23"/>
        <v>MMCL</v>
      </c>
      <c r="O76" s="818">
        <f t="shared" si="24"/>
        <v>2.9316108349492345E-2</v>
      </c>
      <c r="P76" s="582">
        <f>IF($B76&lt;&gt;0,$B76,MIN(M76,(VLOOKUP(A76,[1]!TOX,79,FALSE))))</f>
        <v>0.2</v>
      </c>
      <c r="Q76" s="819">
        <f>IF($B76&lt;&gt;0,$B76,MAX($P76,(VLOOKUP(A76,[1]!TOX,40,FALSE)),(VLOOKUP(A76,[1]!TOX,51,FALSE))))</f>
        <v>0.2</v>
      </c>
      <c r="R76" s="820">
        <f t="shared" si="25"/>
        <v>0.2</v>
      </c>
      <c r="S76" s="821" t="str">
        <f>IF(Q76=M76,N76,IF(Q76=(VLOOKUP(A76,[1]!TOX,40,FALSE)),"Bckgrnd",IF(Q76=(VLOOKUP(A76,[1]!TOX,79,FALSE)),"Ceiling","PQL")))</f>
        <v>MMCL</v>
      </c>
    </row>
    <row r="77" spans="1:19" s="94" customFormat="1" ht="10" x14ac:dyDescent="0.25">
      <c r="A77" s="619" t="s">
        <v>226</v>
      </c>
      <c r="B77" s="822"/>
      <c r="C77" s="823"/>
      <c r="D77" s="812">
        <f>IF((VLOOKUP(A77,[1]!TOX,4,FALSE))=0,0,('[1]Target Risk'!$D$8*(VLOOKUP(A77,[1]!TOX,4,FALSE))/('GW-1 Exp'!$J$18*(VLOOKUP(A77,[1]!TOX,31,FALSE)))))</f>
        <v>2.2707211538461545</v>
      </c>
      <c r="E77" s="812">
        <f t="shared" si="18"/>
        <v>2.6898388572446104</v>
      </c>
      <c r="F77" s="812">
        <f t="shared" si="19"/>
        <v>18.000377069574309</v>
      </c>
      <c r="G77" s="813">
        <f t="shared" si="17"/>
        <v>1.1524553148693775</v>
      </c>
      <c r="H77" s="814">
        <f>IF(ISERR(1/(VLOOKUP(A77,[1]!TOX,12,FALSE))),0,'[1]Target Risk'!$D$12/('GW-1 Exp'!$J$26*(VLOOKUP(A77,[1]!TOX,33,FALSE))*(VLOOKUP(A77,[1]!TOX,12,FALSE))))</f>
        <v>1.3815555111372819</v>
      </c>
      <c r="I77" s="815">
        <f>IF(ISERR(1/(VLOOKUP(A77,[1]!TOX,12,FALSE))),0,IF(VLOOKUP(A77,[1]!TOX,36,FALSE)="M",'[1]Target Risk'!$D$12/(((('GW-1 Exp'!$J$33*(VLOOKUP(A77,[1]!TOX,33,FALSE))*(VLOOKUP(A77,[1]!TOX,12,FALSE))))*10)+((('GW-1 Exp'!$J$34*(VLOOKUP(A77,[1]!TOX,33,FALSE))*(VLOOKUP(A77,[1]!TOX,12,FALSE))))*3)+((('GW-1 Exp'!$J$35*(VLOOKUP(A77,[1]!TOX,33,FALSE))*(VLOOKUP(A77,[1]!TOX,12,FALSE))))*3)+((('GW-1 Exp'!$J$36*(VLOOKUP(A77,[1]!TOX,33,FALSE))*(VLOOKUP(A77,[1]!TOX,12,FALSE))))*1)),'[1]Target Risk'!$D$12/('GW-1 Exp'!$J$26*(VLOOKUP(A77,[1]!TOX,33,FALSE))*(VLOOKUP(A77,[1]!TOX,12,FALSE)))))</f>
        <v>1.3815555111372819</v>
      </c>
      <c r="J77" s="812">
        <f t="shared" si="20"/>
        <v>1.2836784709418068</v>
      </c>
      <c r="K77" s="812">
        <f t="shared" si="21"/>
        <v>1.0208307535031067</v>
      </c>
      <c r="L77" s="815">
        <f t="shared" si="22"/>
        <v>0.40283152084077323</v>
      </c>
      <c r="M77" s="816">
        <f>IF(B77&lt;&gt;0,B77,IF((VLOOKUP(A77,[1]!TOX,44,FALSE))=0,O77,MIN(O77,(VLOOKUP(A77,[1]!TOX,44,FALSE)))))</f>
        <v>0.40283152084077323</v>
      </c>
      <c r="N77" s="817" t="str">
        <f t="shared" si="23"/>
        <v>Cancer</v>
      </c>
      <c r="O77" s="818">
        <f t="shared" si="24"/>
        <v>0.40283152084077323</v>
      </c>
      <c r="P77" s="582">
        <f>IF($B77&lt;&gt;0,$B77,MIN(M77,(VLOOKUP(A77,[1]!TOX,79,FALSE))))</f>
        <v>0.40283152084077323</v>
      </c>
      <c r="Q77" s="819">
        <f>IF($B77&lt;&gt;0,$B77,MAX($P77,(VLOOKUP(A77,[1]!TOX,40,FALSE)),(VLOOKUP(A77,[1]!TOX,51,FALSE))))</f>
        <v>8</v>
      </c>
      <c r="R77" s="820">
        <f t="shared" si="25"/>
        <v>8</v>
      </c>
      <c r="S77" s="821" t="str">
        <f>IF(Q77=M77,N77,IF(Q77=(VLOOKUP(A77,[1]!TOX,40,FALSE)),"Bckgrnd",IF(Q77=(VLOOKUP(A77,[1]!TOX,79,FALSE)),"Ceiling","PQL")))</f>
        <v>PQL</v>
      </c>
    </row>
    <row r="78" spans="1:19" s="94" customFormat="1" ht="10" x14ac:dyDescent="0.25">
      <c r="A78" s="619" t="s">
        <v>432</v>
      </c>
      <c r="B78" s="822"/>
      <c r="C78" s="823"/>
      <c r="D78" s="812">
        <f>IF((VLOOKUP(A78,[1]!TOX,4,FALSE))=0,0,('[1]Target Risk'!$D$8*(VLOOKUP(A78,[1]!TOX,4,FALSE))/('GW-1 Exp'!$J$18*(VLOOKUP(A78,[1]!TOX,31,FALSE)))))</f>
        <v>162.19436813186817</v>
      </c>
      <c r="E78" s="812">
        <f t="shared" si="18"/>
        <v>35750.282842950204</v>
      </c>
      <c r="F78" s="812">
        <f t="shared" si="19"/>
        <v>27457441.100303039</v>
      </c>
      <c r="G78" s="813">
        <f>IF(AND(D78=0,E78=0),F78,IF(AND(E78=0,F78=0),D78,IF(AND(D78=0,F78=0),E78,IF(E78=0,1/((1/D78)+(1/F78)),IF(D78=0,1/((1/E78)+(1/F78)),IF(F78=0,1/((1/D78)+(1/E78)),1/((1/D78)+(1/E78)+(1/F78))))))))</f>
        <v>161.46088738650005</v>
      </c>
      <c r="H78" s="814">
        <f>IF(ISERR(1/(VLOOKUP(A78,[1]!TOX,12,FALSE))),0,'[1]Target Risk'!$D$12/('GW-1 Exp'!$J$26*(VLOOKUP(A78,[1]!TOX,33,FALSE))*(VLOOKUP(A78,[1]!TOX,12,FALSE))))</f>
        <v>0</v>
      </c>
      <c r="I78" s="815">
        <f>IF(ISERR(1/(VLOOKUP(A78,[1]!TOX,12,FALSE))),0,IF(VLOOKUP(A78,[1]!TOX,36,FALSE)="M",'[1]Target Risk'!$D$12/(((('GW-1 Exp'!$J$33*(VLOOKUP(A78,[1]!TOX,33,FALSE))*(VLOOKUP(A78,[1]!TOX,12,FALSE))))*10)+((('GW-1 Exp'!$J$34*(VLOOKUP(A78,[1]!TOX,33,FALSE))*(VLOOKUP(A78,[1]!TOX,12,FALSE))))*3)+((('GW-1 Exp'!$J$35*(VLOOKUP(A78,[1]!TOX,33,FALSE))*(VLOOKUP(A78,[1]!TOX,12,FALSE))))*3)+((('GW-1 Exp'!$J$36*(VLOOKUP(A78,[1]!TOX,33,FALSE))*(VLOOKUP(A78,[1]!TOX,12,FALSE))))*1)),'[1]Target Risk'!$D$12/('GW-1 Exp'!$J$26*(VLOOKUP(A78,[1]!TOX,33,FALSE))*(VLOOKUP(A78,[1]!TOX,12,FALSE)))))</f>
        <v>0</v>
      </c>
      <c r="J78" s="812">
        <f t="shared" si="20"/>
        <v>0</v>
      </c>
      <c r="K78" s="812">
        <f t="shared" si="21"/>
        <v>0</v>
      </c>
      <c r="L78" s="815">
        <f t="shared" si="22"/>
        <v>0</v>
      </c>
      <c r="M78" s="816">
        <f>IF(B78&lt;&gt;0,B78,IF((VLOOKUP(A78,[1]!TOX,44,FALSE))=0,O78,MIN(O78,(VLOOKUP(A78,[1]!TOX,44,FALSE)))))</f>
        <v>161.46088738650005</v>
      </c>
      <c r="N78" s="817" t="str">
        <f t="shared" si="23"/>
        <v>Noncancer</v>
      </c>
      <c r="O78" s="818">
        <f t="shared" si="24"/>
        <v>161.46088738650005</v>
      </c>
      <c r="P78" s="582">
        <f>IF($B78&lt;&gt;0,$B78,MIN(M78,(VLOOKUP(A78,[1]!TOX,79,FALSE))))</f>
        <v>161.46088738650005</v>
      </c>
      <c r="Q78" s="819">
        <f>IF($B78&lt;&gt;0,$B78,MAX($P78,(VLOOKUP(A78,[1]!TOX,40,FALSE)),(VLOOKUP(A78,[1]!TOX,51,FALSE))))</f>
        <v>161.46088738650005</v>
      </c>
      <c r="R78" s="820">
        <f t="shared" si="25"/>
        <v>200</v>
      </c>
      <c r="S78" s="821" t="str">
        <f>IF(Q78=M78,N78,IF(Q78=(VLOOKUP(A78,[1]!TOX,40,FALSE)),"Bckgrnd",IF(Q78=(VLOOKUP(A78,[1]!TOX,79,FALSE)),"Ceiling","PQL")))</f>
        <v>Noncancer</v>
      </c>
    </row>
    <row r="79" spans="1:19" s="94" customFormat="1" ht="10" x14ac:dyDescent="0.25">
      <c r="A79" s="619" t="s">
        <v>227</v>
      </c>
      <c r="B79" s="822"/>
      <c r="C79" s="823"/>
      <c r="D79" s="812">
        <f>IF((VLOOKUP(A79,[1]!TOX,4,FALSE))=0,0,('[1]Target Risk'!$D$8*(VLOOKUP(A79,[1]!TOX,4,FALSE))/('GW-1 Exp'!$J$18*(VLOOKUP(A79,[1]!TOX,31,FALSE)))))</f>
        <v>97.31662087912089</v>
      </c>
      <c r="E79" s="812">
        <f t="shared" si="18"/>
        <v>89.531291208791231</v>
      </c>
      <c r="F79" s="812">
        <f t="shared" si="19"/>
        <v>18372.535525822281</v>
      </c>
      <c r="G79" s="813">
        <f t="shared" si="17"/>
        <v>46.512827772984394</v>
      </c>
      <c r="H79" s="814">
        <f>IF(ISERR(1/(VLOOKUP(A79,[1]!TOX,12,FALSE))),0,'[1]Target Risk'!$D$12/('GW-1 Exp'!$J$26*(VLOOKUP(A79,[1]!TOX,33,FALSE))*(VLOOKUP(A79,[1]!TOX,12,FALSE))))</f>
        <v>0.55262220445491284</v>
      </c>
      <c r="I79" s="815">
        <f>IF(ISERR(1/(VLOOKUP(A79,[1]!TOX,12,FALSE))),0,IF(VLOOKUP(A79,[1]!TOX,36,FALSE)="M",'[1]Target Risk'!$D$12/(((('GW-1 Exp'!$J$33*(VLOOKUP(A79,[1]!TOX,33,FALSE))*(VLOOKUP(A79,[1]!TOX,12,FALSE))))*10)+((('GW-1 Exp'!$J$34*(VLOOKUP(A79,[1]!TOX,33,FALSE))*(VLOOKUP(A79,[1]!TOX,12,FALSE))))*3)+((('GW-1 Exp'!$J$35*(VLOOKUP(A79,[1]!TOX,33,FALSE))*(VLOOKUP(A79,[1]!TOX,12,FALSE))))*3)+((('GW-1 Exp'!$J$36*(VLOOKUP(A79,[1]!TOX,33,FALSE))*(VLOOKUP(A79,[1]!TOX,12,FALSE))))*1)),'[1]Target Risk'!$D$12/('GW-1 Exp'!$J$26*(VLOOKUP(A79,[1]!TOX,33,FALSE))*(VLOOKUP(A79,[1]!TOX,12,FALSE)))))</f>
        <v>0.15271954167573876</v>
      </c>
      <c r="J79" s="812">
        <f t="shared" si="20"/>
        <v>0.14050197834167966</v>
      </c>
      <c r="K79" s="812">
        <f t="shared" si="21"/>
        <v>19.784353682037853</v>
      </c>
      <c r="L79" s="815">
        <f t="shared" si="22"/>
        <v>7.2908440913223654E-2</v>
      </c>
      <c r="M79" s="816">
        <f>IF(B79&lt;&gt;0,B79,IF((VLOOKUP(A79,[1]!TOX,44,FALSE))=0,O79,MIN(O79,(VLOOKUP(A79,[1]!TOX,44,FALSE)))))</f>
        <v>7.2908440913223654E-2</v>
      </c>
      <c r="N79" s="817" t="str">
        <f t="shared" si="23"/>
        <v>Cancer</v>
      </c>
      <c r="O79" s="818">
        <f t="shared" si="24"/>
        <v>7.2908440913223654E-2</v>
      </c>
      <c r="P79" s="582">
        <f>IF($B79&lt;&gt;0,$B79,MIN(M79,(VLOOKUP(A79,[1]!TOX,79,FALSE))))</f>
        <v>7.2908440913223654E-2</v>
      </c>
      <c r="Q79" s="819">
        <f>IF($B79&lt;&gt;0,$B79,MAX($P79,(VLOOKUP(A79,[1]!TOX,40,FALSE)),(VLOOKUP(A79,[1]!TOX,51,FALSE))))</f>
        <v>0.5</v>
      </c>
      <c r="R79" s="820">
        <f t="shared" si="25"/>
        <v>0.5</v>
      </c>
      <c r="S79" s="821" t="str">
        <f>IF(Q79=M79,N79,IF(Q79=(VLOOKUP(A79,[1]!TOX,40,FALSE)),"Bckgrnd",IF(Q79=(VLOOKUP(A79,[1]!TOX,79,FALSE)),"Ceiling","PQL")))</f>
        <v>PQL</v>
      </c>
    </row>
    <row r="80" spans="1:19" s="94" customFormat="1" ht="10" x14ac:dyDescent="0.25">
      <c r="A80" s="619" t="s">
        <v>228</v>
      </c>
      <c r="B80" s="822">
        <v>15</v>
      </c>
      <c r="C80" s="823" t="s">
        <v>14</v>
      </c>
      <c r="D80" s="812">
        <f>IF((VLOOKUP(A80,[1]!TOX,4,FALSE))=0,0,('[1]Target Risk'!$D$8*(VLOOKUP(A80,[1]!TOX,4,FALSE))/('GW-1 Exp'!$J$18*(VLOOKUP(A80,[1]!TOX,31,FALSE)))))</f>
        <v>2.4329155219780225</v>
      </c>
      <c r="E80" s="812">
        <f t="shared" si="18"/>
        <v>3114.86710097371</v>
      </c>
      <c r="F80" s="812">
        <f t="shared" si="19"/>
        <v>0</v>
      </c>
      <c r="G80" s="813">
        <f t="shared" si="17"/>
        <v>2.431016738445555</v>
      </c>
      <c r="H80" s="814">
        <f>IF(ISERR(1/(VLOOKUP(A80,[1]!TOX,12,FALSE))),0,'[1]Target Risk'!$D$12/('GW-1 Exp'!$J$26*(VLOOKUP(A80,[1]!TOX,33,FALSE))*(VLOOKUP(A80,[1]!TOX,12,FALSE))))</f>
        <v>0</v>
      </c>
      <c r="I80" s="815">
        <f>IF(ISERR(1/(VLOOKUP(A80,[1]!TOX,12,FALSE))),0,IF(VLOOKUP(A80,[1]!TOX,36,FALSE)="M",'[1]Target Risk'!$D$12/(((('GW-1 Exp'!$J$33*(VLOOKUP(A80,[1]!TOX,33,FALSE))*(VLOOKUP(A80,[1]!TOX,12,FALSE))))*10)+((('GW-1 Exp'!$J$34*(VLOOKUP(A80,[1]!TOX,33,FALSE))*(VLOOKUP(A80,[1]!TOX,12,FALSE))))*3)+((('GW-1 Exp'!$J$35*(VLOOKUP(A80,[1]!TOX,33,FALSE))*(VLOOKUP(A80,[1]!TOX,12,FALSE))))*3)+((('GW-1 Exp'!$J$36*(VLOOKUP(A80,[1]!TOX,33,FALSE))*(VLOOKUP(A80,[1]!TOX,12,FALSE))))*1)),'[1]Target Risk'!$D$12/('GW-1 Exp'!$J$26*(VLOOKUP(A80,[1]!TOX,33,FALSE))*(VLOOKUP(A80,[1]!TOX,12,FALSE)))))</f>
        <v>0</v>
      </c>
      <c r="J80" s="812">
        <f t="shared" si="20"/>
        <v>0</v>
      </c>
      <c r="K80" s="812">
        <f t="shared" si="21"/>
        <v>0</v>
      </c>
      <c r="L80" s="815">
        <f t="shared" si="22"/>
        <v>0</v>
      </c>
      <c r="M80" s="816">
        <f>IF(B80&lt;&gt;0,B80,IF((VLOOKUP(A80,[1]!TOX,44,FALSE))=0,O80,MIN(O80,(VLOOKUP(A80,[1]!TOX,44,FALSE)))))</f>
        <v>15</v>
      </c>
      <c r="N80" s="817" t="str">
        <f t="shared" si="23"/>
        <v>AL</v>
      </c>
      <c r="O80" s="818">
        <f t="shared" si="24"/>
        <v>2.431016738445555</v>
      </c>
      <c r="P80" s="582">
        <f>IF($B80&lt;&gt;0,$B80,MIN(M80,(VLOOKUP(A80,[1]!TOX,79,FALSE))))</f>
        <v>15</v>
      </c>
      <c r="Q80" s="819">
        <f>IF($B80&lt;&gt;0,$B80,MAX($P80,(VLOOKUP(A80,[1]!TOX,40,FALSE)),(VLOOKUP(A80,[1]!TOX,51,FALSE))))</f>
        <v>15</v>
      </c>
      <c r="R80" s="820">
        <f t="shared" si="25"/>
        <v>15</v>
      </c>
      <c r="S80" s="821" t="str">
        <f>IF(Q80=M80,N80,IF(Q80=(VLOOKUP(A80,[1]!TOX,40,FALSE)),"Bckgrnd",IF(Q80=(VLOOKUP(A80,[1]!TOX,79,FALSE)),"Ceiling","PQL")))</f>
        <v>AL</v>
      </c>
    </row>
    <row r="81" spans="1:19" s="94" customFormat="1" ht="10" x14ac:dyDescent="0.25">
      <c r="A81" s="619" t="s">
        <v>229</v>
      </c>
      <c r="B81" s="822">
        <v>2</v>
      </c>
      <c r="C81" s="823" t="s">
        <v>341</v>
      </c>
      <c r="D81" s="812">
        <f>IF((VLOOKUP(A81,[1]!TOX,4,FALSE))=0,0,('[1]Target Risk'!$D$8*(VLOOKUP(A81,[1]!TOX,4,FALSE))/('GW-1 Exp'!$J$18*(VLOOKUP(A81,[1]!TOX,31,FALSE)))))</f>
        <v>0.97316620879120885</v>
      </c>
      <c r="E81" s="812">
        <f t="shared" si="18"/>
        <v>236.72989967400187</v>
      </c>
      <c r="F81" s="812">
        <f t="shared" si="19"/>
        <v>0</v>
      </c>
      <c r="G81" s="813">
        <f t="shared" si="17"/>
        <v>0.96918202597717651</v>
      </c>
      <c r="H81" s="814">
        <f>IF(ISERR(1/(VLOOKUP(A81,[1]!TOX,12,FALSE))),0,'[1]Target Risk'!$D$12/('GW-1 Exp'!$J$26*(VLOOKUP(A81,[1]!TOX,33,FALSE))*(VLOOKUP(A81,[1]!TOX,12,FALSE))))</f>
        <v>0</v>
      </c>
      <c r="I81" s="815">
        <f>IF(ISERR(1/(VLOOKUP(A81,[1]!TOX,12,FALSE))),0,IF(VLOOKUP(A81,[1]!TOX,36,FALSE)="M",'[1]Target Risk'!$D$12/(((('GW-1 Exp'!$J$33*(VLOOKUP(A81,[1]!TOX,33,FALSE))*(VLOOKUP(A81,[1]!TOX,12,FALSE))))*10)+((('GW-1 Exp'!$J$34*(VLOOKUP(A81,[1]!TOX,33,FALSE))*(VLOOKUP(A81,[1]!TOX,12,FALSE))))*3)+((('GW-1 Exp'!$J$35*(VLOOKUP(A81,[1]!TOX,33,FALSE))*(VLOOKUP(A81,[1]!TOX,12,FALSE))))*3)+((('GW-1 Exp'!$J$36*(VLOOKUP(A81,[1]!TOX,33,FALSE))*(VLOOKUP(A81,[1]!TOX,12,FALSE))))*1)),'[1]Target Risk'!$D$12/('GW-1 Exp'!$J$26*(VLOOKUP(A81,[1]!TOX,33,FALSE))*(VLOOKUP(A81,[1]!TOX,12,FALSE)))))</f>
        <v>0</v>
      </c>
      <c r="J81" s="812">
        <f t="shared" si="20"/>
        <v>0</v>
      </c>
      <c r="K81" s="812">
        <f t="shared" si="21"/>
        <v>0</v>
      </c>
      <c r="L81" s="815">
        <f t="shared" si="22"/>
        <v>0</v>
      </c>
      <c r="M81" s="816">
        <f>IF(B81&lt;&gt;0,B81,IF((VLOOKUP(A81,[1]!TOX,44,FALSE))=0,O81,MIN(O81,(VLOOKUP(A81,[1]!TOX,44,FALSE)))))</f>
        <v>2</v>
      </c>
      <c r="N81" s="817" t="str">
        <f t="shared" si="23"/>
        <v>MMCL</v>
      </c>
      <c r="O81" s="818">
        <f t="shared" si="24"/>
        <v>0.96918202597717651</v>
      </c>
      <c r="P81" s="582">
        <f>IF($B81&lt;&gt;0,$B81,MIN(M81,(VLOOKUP(A81,[1]!TOX,79,FALSE))))</f>
        <v>2</v>
      </c>
      <c r="Q81" s="819">
        <f>IF($B81&lt;&gt;0,$B81,MAX($P81,(VLOOKUP(A81,[1]!TOX,40,FALSE)),(VLOOKUP(A81,[1]!TOX,51,FALSE))))</f>
        <v>2</v>
      </c>
      <c r="R81" s="820">
        <f t="shared" si="25"/>
        <v>2</v>
      </c>
      <c r="S81" s="821" t="str">
        <f>IF(Q81=M81,N81,IF(Q81=(VLOOKUP(A81,[1]!TOX,40,FALSE)),"Bckgrnd",IF(Q81=(VLOOKUP(A81,[1]!TOX,79,FALSE)),"Ceiling","PQL")))</f>
        <v>MMCL</v>
      </c>
    </row>
    <row r="82" spans="1:19" s="94" customFormat="1" ht="10" x14ac:dyDescent="0.25">
      <c r="A82" s="619" t="s">
        <v>230</v>
      </c>
      <c r="B82" s="822">
        <v>40</v>
      </c>
      <c r="C82" s="823" t="s">
        <v>341</v>
      </c>
      <c r="D82" s="812">
        <f>IF((VLOOKUP(A82,[1]!TOX,4,FALSE))=0,0,('[1]Target Risk'!$D$8*(VLOOKUP(A82,[1]!TOX,4,FALSE))/('GW-1 Exp'!$J$18*(VLOOKUP(A82,[1]!TOX,31,FALSE)))))</f>
        <v>16.219436813186814</v>
      </c>
      <c r="E82" s="812">
        <f t="shared" si="18"/>
        <v>81.097184065934073</v>
      </c>
      <c r="F82" s="812">
        <f t="shared" si="19"/>
        <v>12686.308324207457</v>
      </c>
      <c r="G82" s="813">
        <f t="shared" si="17"/>
        <v>13.501812295903713</v>
      </c>
      <c r="H82" s="814">
        <f>IF(ISERR(1/(VLOOKUP(A82,[1]!TOX,12,FALSE))),0,'[1]Target Risk'!$D$12/('GW-1 Exp'!$J$26*(VLOOKUP(A82,[1]!TOX,33,FALSE))*(VLOOKUP(A82,[1]!TOX,12,FALSE))))</f>
        <v>0</v>
      </c>
      <c r="I82" s="815">
        <f>IF(ISERR(1/(VLOOKUP(A82,[1]!TOX,12,FALSE))),0,IF(VLOOKUP(A82,[1]!TOX,36,FALSE)="M",'[1]Target Risk'!$D$12/(((('GW-1 Exp'!$J$33*(VLOOKUP(A82,[1]!TOX,33,FALSE))*(VLOOKUP(A82,[1]!TOX,12,FALSE))))*10)+((('GW-1 Exp'!$J$34*(VLOOKUP(A82,[1]!TOX,33,FALSE))*(VLOOKUP(A82,[1]!TOX,12,FALSE))))*3)+((('GW-1 Exp'!$J$35*(VLOOKUP(A82,[1]!TOX,33,FALSE))*(VLOOKUP(A82,[1]!TOX,12,FALSE))))*3)+((('GW-1 Exp'!$J$36*(VLOOKUP(A82,[1]!TOX,33,FALSE))*(VLOOKUP(A82,[1]!TOX,12,FALSE))))*1)),'[1]Target Risk'!$D$12/('GW-1 Exp'!$J$26*(VLOOKUP(A82,[1]!TOX,33,FALSE))*(VLOOKUP(A82,[1]!TOX,12,FALSE)))))</f>
        <v>0</v>
      </c>
      <c r="J82" s="812">
        <f t="shared" si="20"/>
        <v>0</v>
      </c>
      <c r="K82" s="812">
        <f t="shared" si="21"/>
        <v>0</v>
      </c>
      <c r="L82" s="815">
        <f t="shared" si="22"/>
        <v>0</v>
      </c>
      <c r="M82" s="816">
        <f>IF(B82&lt;&gt;0,B82,IF((VLOOKUP(A82,[1]!TOX,44,FALSE))=0,O82,MIN(O82,(VLOOKUP(A82,[1]!TOX,44,FALSE)))))</f>
        <v>40</v>
      </c>
      <c r="N82" s="817" t="str">
        <f t="shared" si="23"/>
        <v>MMCL</v>
      </c>
      <c r="O82" s="818">
        <f t="shared" si="24"/>
        <v>13.501812295903713</v>
      </c>
      <c r="P82" s="582">
        <f>IF($B82&lt;&gt;0,$B82,MIN(M82,(VLOOKUP(A82,[1]!TOX,79,FALSE))))</f>
        <v>40</v>
      </c>
      <c r="Q82" s="819">
        <f>IF($B82&lt;&gt;0,$B82,MAX($P82,(VLOOKUP(A82,[1]!TOX,40,FALSE)),(VLOOKUP(A82,[1]!TOX,51,FALSE))))</f>
        <v>40</v>
      </c>
      <c r="R82" s="820">
        <f t="shared" si="25"/>
        <v>40</v>
      </c>
      <c r="S82" s="821" t="str">
        <f>IF(Q82=M82,N82,IF(Q82=(VLOOKUP(A82,[1]!TOX,40,FALSE)),"Bckgrnd",IF(Q82=(VLOOKUP(A82,[1]!TOX,79,FALSE)),"Ceiling","PQL")))</f>
        <v>MMCL</v>
      </c>
    </row>
    <row r="83" spans="1:19" s="94" customFormat="1" ht="10" x14ac:dyDescent="0.25">
      <c r="A83" s="619" t="s">
        <v>231</v>
      </c>
      <c r="B83" s="822">
        <v>4000</v>
      </c>
      <c r="C83" s="823" t="s">
        <v>342</v>
      </c>
      <c r="D83" s="812">
        <f>IF((VLOOKUP(A83,[1]!TOX,4,FALSE))=0,0,('[1]Target Risk'!$D$8*(VLOOKUP(A83,[1]!TOX,4,FALSE))/('GW-1 Exp'!$J$18*(VLOOKUP(A83,[1]!TOX,31,FALSE)))))</f>
        <v>1946.3324175824177</v>
      </c>
      <c r="E83" s="812">
        <f t="shared" si="18"/>
        <v>276553.7001299173</v>
      </c>
      <c r="F83" s="812">
        <f t="shared" si="19"/>
        <v>7499.8275188454008</v>
      </c>
      <c r="G83" s="813">
        <f t="shared" si="17"/>
        <v>1536.7139801556759</v>
      </c>
      <c r="H83" s="814">
        <f>IF(ISERR(1/(VLOOKUP(A83,[1]!TOX,12,FALSE))),0,'[1]Target Risk'!$D$12/('GW-1 Exp'!$J$26*(VLOOKUP(A83,[1]!TOX,33,FALSE))*(VLOOKUP(A83,[1]!TOX,12,FALSE))))</f>
        <v>0</v>
      </c>
      <c r="I83" s="815">
        <f>IF(ISERR(1/(VLOOKUP(A83,[1]!TOX,12,FALSE))),0,IF(VLOOKUP(A83,[1]!TOX,36,FALSE)="M",'[1]Target Risk'!$D$12/(((('GW-1 Exp'!$J$33*(VLOOKUP(A83,[1]!TOX,33,FALSE))*(VLOOKUP(A83,[1]!TOX,12,FALSE))))*10)+((('GW-1 Exp'!$J$34*(VLOOKUP(A83,[1]!TOX,33,FALSE))*(VLOOKUP(A83,[1]!TOX,12,FALSE))))*3)+((('GW-1 Exp'!$J$35*(VLOOKUP(A83,[1]!TOX,33,FALSE))*(VLOOKUP(A83,[1]!TOX,12,FALSE))))*3)+((('GW-1 Exp'!$J$36*(VLOOKUP(A83,[1]!TOX,33,FALSE))*(VLOOKUP(A83,[1]!TOX,12,FALSE))))*1)),'[1]Target Risk'!$D$12/('GW-1 Exp'!$J$26*(VLOOKUP(A83,[1]!TOX,33,FALSE))*(VLOOKUP(A83,[1]!TOX,12,FALSE)))))</f>
        <v>0</v>
      </c>
      <c r="J83" s="812">
        <f t="shared" si="20"/>
        <v>0</v>
      </c>
      <c r="K83" s="812">
        <f t="shared" si="21"/>
        <v>0</v>
      </c>
      <c r="L83" s="815">
        <f t="shared" si="22"/>
        <v>0</v>
      </c>
      <c r="M83" s="816">
        <f>IF(B83&lt;&gt;0,B83,IF((VLOOKUP(A83,[1]!TOX,44,FALSE))=0,O83,MIN(O83,(VLOOKUP(A83,[1]!TOX,44,FALSE)))))</f>
        <v>4000</v>
      </c>
      <c r="N83" s="817" t="str">
        <f t="shared" si="23"/>
        <v>ORSGL</v>
      </c>
      <c r="O83" s="818">
        <f t="shared" si="24"/>
        <v>1536.7139801556759</v>
      </c>
      <c r="P83" s="582">
        <f>IF($B83&lt;&gt;0,$B83,MIN(M83,(VLOOKUP(A83,[1]!TOX,79,FALSE))))</f>
        <v>4000</v>
      </c>
      <c r="Q83" s="819">
        <f>IF($B83&lt;&gt;0,$B83,MAX($P83,(VLOOKUP(A83,[1]!TOX,40,FALSE)),(VLOOKUP(A83,[1]!TOX,51,FALSE))))</f>
        <v>4000</v>
      </c>
      <c r="R83" s="820">
        <f t="shared" si="25"/>
        <v>4000</v>
      </c>
      <c r="S83" s="821" t="str">
        <f>IF(Q83=M83,N83,IF(Q83=(VLOOKUP(A83,[1]!TOX,40,FALSE)),"Bckgrnd",IF(Q83=(VLOOKUP(A83,[1]!TOX,79,FALSE)),"Ceiling","PQL")))</f>
        <v>ORSGL</v>
      </c>
    </row>
    <row r="84" spans="1:19" s="94" customFormat="1" ht="10" x14ac:dyDescent="0.25">
      <c r="A84" s="619" t="s">
        <v>232</v>
      </c>
      <c r="B84" s="822">
        <v>350</v>
      </c>
      <c r="C84" s="823" t="s">
        <v>342</v>
      </c>
      <c r="D84" s="812">
        <f>IF((VLOOKUP(A84,[1]!TOX,4,FALSE))=0,0,('[1]Target Risk'!$D$8*(VLOOKUP(A84,[1]!TOX,4,FALSE))/('GW-1 Exp'!$J$18*(VLOOKUP(A84,[1]!TOX,31,FALSE)))))</f>
        <v>259.51098901098902</v>
      </c>
      <c r="E84" s="812">
        <f t="shared" si="18"/>
        <v>9373.8545410312927</v>
      </c>
      <c r="F84" s="812">
        <f t="shared" si="19"/>
        <v>2875.7582694323355</v>
      </c>
      <c r="G84" s="813">
        <f t="shared" si="17"/>
        <v>232.13622157473887</v>
      </c>
      <c r="H84" s="814">
        <f>IF(ISERR(1/(VLOOKUP(A84,[1]!TOX,12,FALSE))),0,'[1]Target Risk'!$D$12/('GW-1 Exp'!$J$26*(VLOOKUP(A84,[1]!TOX,33,FALSE))*(VLOOKUP(A84,[1]!TOX,12,FALSE))))</f>
        <v>0</v>
      </c>
      <c r="I84" s="815">
        <f>IF(ISERR(1/(VLOOKUP(A84,[1]!TOX,12,FALSE))),0,IF(VLOOKUP(A84,[1]!TOX,36,FALSE)="M",'[1]Target Risk'!$D$12/(((('GW-1 Exp'!$J$33*(VLOOKUP(A84,[1]!TOX,33,FALSE))*(VLOOKUP(A84,[1]!TOX,12,FALSE))))*10)+((('GW-1 Exp'!$J$34*(VLOOKUP(A84,[1]!TOX,33,FALSE))*(VLOOKUP(A84,[1]!TOX,12,FALSE))))*3)+((('GW-1 Exp'!$J$35*(VLOOKUP(A84,[1]!TOX,33,FALSE))*(VLOOKUP(A84,[1]!TOX,12,FALSE))))*3)+((('GW-1 Exp'!$J$36*(VLOOKUP(A84,[1]!TOX,33,FALSE))*(VLOOKUP(A84,[1]!TOX,12,FALSE))))*1)),'[1]Target Risk'!$D$12/('GW-1 Exp'!$J$26*(VLOOKUP(A84,[1]!TOX,33,FALSE))*(VLOOKUP(A84,[1]!TOX,12,FALSE)))))</f>
        <v>0</v>
      </c>
      <c r="J84" s="812">
        <f t="shared" si="20"/>
        <v>0</v>
      </c>
      <c r="K84" s="812">
        <f t="shared" si="21"/>
        <v>0</v>
      </c>
      <c r="L84" s="815">
        <f t="shared" si="22"/>
        <v>0</v>
      </c>
      <c r="M84" s="816">
        <f>IF(B84&lt;&gt;0,B84,IF((VLOOKUP(A84,[1]!TOX,44,FALSE))=0,O84,MIN(O84,(VLOOKUP(A84,[1]!TOX,44,FALSE)))))</f>
        <v>350</v>
      </c>
      <c r="N84" s="817" t="str">
        <f t="shared" si="23"/>
        <v>ORSGL</v>
      </c>
      <c r="O84" s="818">
        <f t="shared" si="24"/>
        <v>232.13622157473887</v>
      </c>
      <c r="P84" s="582">
        <f>IF($B84&lt;&gt;0,$B84,MIN(M84,(VLOOKUP(A84,[1]!TOX,79,FALSE))))</f>
        <v>350</v>
      </c>
      <c r="Q84" s="819">
        <f>IF($B84&lt;&gt;0,$B84,MAX($P84,(VLOOKUP(A84,[1]!TOX,40,FALSE)),(VLOOKUP(A84,[1]!TOX,51,FALSE))))</f>
        <v>350</v>
      </c>
      <c r="R84" s="820">
        <f t="shared" si="25"/>
        <v>350</v>
      </c>
      <c r="S84" s="821" t="str">
        <f>IF(Q84=M84,N84,IF(Q84=(VLOOKUP(A84,[1]!TOX,40,FALSE)),"Bckgrnd",IF(Q84=(VLOOKUP(A84,[1]!TOX,79,FALSE)),"Ceiling","PQL")))</f>
        <v>ORSGL</v>
      </c>
    </row>
    <row r="85" spans="1:19" s="94" customFormat="1" ht="10" x14ac:dyDescent="0.25">
      <c r="A85" s="619" t="s">
        <v>233</v>
      </c>
      <c r="B85" s="822"/>
      <c r="C85" s="823"/>
      <c r="D85" s="812">
        <f>IF((VLOOKUP(A85,[1]!TOX,4,FALSE))=0,0,('[1]Target Risk'!$D$8*(VLOOKUP(A85,[1]!TOX,4,FALSE))/('GW-1 Exp'!$J$18*(VLOOKUP(A85,[1]!TOX,31,FALSE)))))</f>
        <v>0.32438873626373632</v>
      </c>
      <c r="E85" s="812">
        <f t="shared" si="18"/>
        <v>78.909966558000633</v>
      </c>
      <c r="F85" s="812">
        <f t="shared" si="19"/>
        <v>0</v>
      </c>
      <c r="G85" s="813">
        <f t="shared" si="17"/>
        <v>0.32306067532572547</v>
      </c>
      <c r="H85" s="814">
        <f>IF(ISERR(1/(VLOOKUP(A85,[1]!TOX,12,FALSE))),0,'[1]Target Risk'!$D$12/('GW-1 Exp'!$J$26*(VLOOKUP(A85,[1]!TOX,33,FALSE))*(VLOOKUP(A85,[1]!TOX,12,FALSE))))</f>
        <v>0</v>
      </c>
      <c r="I85" s="815">
        <f>IF(ISERR(1/(VLOOKUP(A85,[1]!TOX,12,FALSE))),0,IF(VLOOKUP(A85,[1]!TOX,36,FALSE)="M",'[1]Target Risk'!$D$12/(((('GW-1 Exp'!$J$33*(VLOOKUP(A85,[1]!TOX,33,FALSE))*(VLOOKUP(A85,[1]!TOX,12,FALSE))))*10)+((('GW-1 Exp'!$J$34*(VLOOKUP(A85,[1]!TOX,33,FALSE))*(VLOOKUP(A85,[1]!TOX,12,FALSE))))*3)+((('GW-1 Exp'!$J$35*(VLOOKUP(A85,[1]!TOX,33,FALSE))*(VLOOKUP(A85,[1]!TOX,12,FALSE))))*3)+((('GW-1 Exp'!$J$36*(VLOOKUP(A85,[1]!TOX,33,FALSE))*(VLOOKUP(A85,[1]!TOX,12,FALSE))))*1)),'[1]Target Risk'!$D$12/('GW-1 Exp'!$J$26*(VLOOKUP(A85,[1]!TOX,33,FALSE))*(VLOOKUP(A85,[1]!TOX,12,FALSE)))))</f>
        <v>0</v>
      </c>
      <c r="J85" s="812">
        <f t="shared" si="20"/>
        <v>0</v>
      </c>
      <c r="K85" s="812">
        <f t="shared" si="21"/>
        <v>0</v>
      </c>
      <c r="L85" s="815">
        <f t="shared" si="22"/>
        <v>0</v>
      </c>
      <c r="M85" s="816">
        <f>IF(B85&lt;&gt;0,B85,IF((VLOOKUP(A85,[1]!TOX,44,FALSE))=0,O85,MIN(O85,(VLOOKUP(A85,[1]!TOX,44,FALSE)))))</f>
        <v>0.32306067532572547</v>
      </c>
      <c r="N85" s="817" t="str">
        <f t="shared" si="23"/>
        <v>Noncancer</v>
      </c>
      <c r="O85" s="818">
        <f t="shared" si="24"/>
        <v>0.32306067532572547</v>
      </c>
      <c r="P85" s="582">
        <f>IF($B85&lt;&gt;0,$B85,MIN(M85,(VLOOKUP(A85,[1]!TOX,79,FALSE))))</f>
        <v>0.32306067532572547</v>
      </c>
      <c r="Q85" s="819">
        <f>IF($B85&lt;&gt;0,$B85,MAX($P85,(VLOOKUP(A85,[1]!TOX,40,FALSE)),(VLOOKUP(A85,[1]!TOX,51,FALSE))))</f>
        <v>0.32306067532572547</v>
      </c>
      <c r="R85" s="820">
        <f t="shared" si="25"/>
        <v>0.3</v>
      </c>
      <c r="S85" s="821" t="str">
        <f>IF(Q85=M85,N85,IF(Q85=(VLOOKUP(A85,[1]!TOX,40,FALSE)),"Bckgrnd",IF(Q85=(VLOOKUP(A85,[1]!TOX,79,FALSE)),"Ceiling","PQL")))</f>
        <v>Noncancer</v>
      </c>
    </row>
    <row r="86" spans="1:19" s="94" customFormat="1" ht="10" x14ac:dyDescent="0.25">
      <c r="A86" s="619" t="s">
        <v>234</v>
      </c>
      <c r="B86" s="822">
        <v>70</v>
      </c>
      <c r="C86" s="823" t="s">
        <v>342</v>
      </c>
      <c r="D86" s="812">
        <f>IF((VLOOKUP(A86,[1]!TOX,4,FALSE))=0,0,('[1]Target Risk'!$D$8*(VLOOKUP(A86,[1]!TOX,4,FALSE))/('GW-1 Exp'!$J$18*(VLOOKUP(A86,[1]!TOX,31,FALSE)))))</f>
        <v>324.38873626373635</v>
      </c>
      <c r="E86" s="812">
        <f t="shared" si="18"/>
        <v>19029.537056965826</v>
      </c>
      <c r="F86" s="812">
        <f t="shared" si="19"/>
        <v>1527.3119641409601</v>
      </c>
      <c r="G86" s="813">
        <f t="shared" si="17"/>
        <v>263.85112441401054</v>
      </c>
      <c r="H86" s="814">
        <f>IF(ISERR(1/(VLOOKUP(A86,[1]!TOX,12,FALSE))),0,'[1]Target Risk'!$D$12/('GW-1 Exp'!$J$26*(VLOOKUP(A86,[1]!TOX,33,FALSE))*(VLOOKUP(A86,[1]!TOX,12,FALSE))))</f>
        <v>0</v>
      </c>
      <c r="I86" s="815">
        <f>IF(ISERR(1/(VLOOKUP(A86,[1]!TOX,12,FALSE))),0,IF(VLOOKUP(A86,[1]!TOX,36,FALSE)="M",'[1]Target Risk'!$D$12/(((('GW-1 Exp'!$J$33*(VLOOKUP(A86,[1]!TOX,33,FALSE))*(VLOOKUP(A86,[1]!TOX,12,FALSE))))*10)+((('GW-1 Exp'!$J$34*(VLOOKUP(A86,[1]!TOX,33,FALSE))*(VLOOKUP(A86,[1]!TOX,12,FALSE))))*3)+((('GW-1 Exp'!$J$35*(VLOOKUP(A86,[1]!TOX,33,FALSE))*(VLOOKUP(A86,[1]!TOX,12,FALSE))))*3)+((('GW-1 Exp'!$J$36*(VLOOKUP(A86,[1]!TOX,33,FALSE))*(VLOOKUP(A86,[1]!TOX,12,FALSE))))*1)),'[1]Target Risk'!$D$12/('GW-1 Exp'!$J$26*(VLOOKUP(A86,[1]!TOX,33,FALSE))*(VLOOKUP(A86,[1]!TOX,12,FALSE)))))</f>
        <v>0</v>
      </c>
      <c r="J86" s="812">
        <f t="shared" si="20"/>
        <v>0</v>
      </c>
      <c r="K86" s="812">
        <f t="shared" si="21"/>
        <v>0</v>
      </c>
      <c r="L86" s="815">
        <f t="shared" si="22"/>
        <v>0</v>
      </c>
      <c r="M86" s="816">
        <f>IF(B86&lt;&gt;0,B86,IF((VLOOKUP(A86,[1]!TOX,44,FALSE))=0,O86,MIN(O86,(VLOOKUP(A86,[1]!TOX,44,FALSE)))))</f>
        <v>70</v>
      </c>
      <c r="N86" s="817" t="str">
        <f t="shared" si="23"/>
        <v>ORSGL</v>
      </c>
      <c r="O86" s="818">
        <f t="shared" si="24"/>
        <v>263.85112441401054</v>
      </c>
      <c r="P86" s="582">
        <f>IF($B86&lt;&gt;0,$B86,MIN(M86,(VLOOKUP(A86,[1]!TOX,79,FALSE))))</f>
        <v>70</v>
      </c>
      <c r="Q86" s="819">
        <f>IF($B86&lt;&gt;0,$B86,MAX($P86,(VLOOKUP(A86,[1]!TOX,40,FALSE)),(VLOOKUP(A86,[1]!TOX,51,FALSE))))</f>
        <v>70</v>
      </c>
      <c r="R86" s="820">
        <f t="shared" si="25"/>
        <v>70</v>
      </c>
      <c r="S86" s="821" t="str">
        <f>IF(Q86=M86,N86,IF(Q86=(VLOOKUP(A86,[1]!TOX,40,FALSE)),"Bckgrnd",IF(Q86=(VLOOKUP(A86,[1]!TOX,79,FALSE)),"Ceiling","PQL")))</f>
        <v>ORSGL</v>
      </c>
    </row>
    <row r="87" spans="1:19" s="94" customFormat="1" ht="10" x14ac:dyDescent="0.25">
      <c r="A87" s="619" t="s">
        <v>235</v>
      </c>
      <c r="B87" s="822"/>
      <c r="C87" s="823"/>
      <c r="D87" s="812">
        <f>IF((VLOOKUP(A87,[1]!TOX,4,FALSE))=0,0,('[1]Target Risk'!$D$8*(VLOOKUP(A87,[1]!TOX,4,FALSE))/('GW-1 Exp'!$J$18*(VLOOKUP(A87,[1]!TOX,31,FALSE)))))</f>
        <v>12.975549450549453</v>
      </c>
      <c r="E87" s="812">
        <f t="shared" si="18"/>
        <v>11.729406610173729</v>
      </c>
      <c r="F87" s="812">
        <f t="shared" si="19"/>
        <v>31.961858830899427</v>
      </c>
      <c r="G87" s="813">
        <f t="shared" si="17"/>
        <v>5.1649924877186386</v>
      </c>
      <c r="H87" s="814">
        <f>IF(ISERR(1/(VLOOKUP(A87,[1]!TOX,12,FALSE))),0,'[1]Target Risk'!$D$12/('GW-1 Exp'!$J$26*(VLOOKUP(A87,[1]!TOX,33,FALSE))*(VLOOKUP(A87,[1]!TOX,12,FALSE))))</f>
        <v>0</v>
      </c>
      <c r="I87" s="815">
        <f>IF(ISERR(1/(VLOOKUP(A87,[1]!TOX,12,FALSE))),0,IF(VLOOKUP(A87,[1]!TOX,36,FALSE)="M",'[1]Target Risk'!$D$12/(((('GW-1 Exp'!$J$33*(VLOOKUP(A87,[1]!TOX,33,FALSE))*(VLOOKUP(A87,[1]!TOX,12,FALSE))))*10)+((('GW-1 Exp'!$J$34*(VLOOKUP(A87,[1]!TOX,33,FALSE))*(VLOOKUP(A87,[1]!TOX,12,FALSE))))*3)+((('GW-1 Exp'!$J$35*(VLOOKUP(A87,[1]!TOX,33,FALSE))*(VLOOKUP(A87,[1]!TOX,12,FALSE))))*3)+((('GW-1 Exp'!$J$36*(VLOOKUP(A87,[1]!TOX,33,FALSE))*(VLOOKUP(A87,[1]!TOX,12,FALSE))))*1)),'[1]Target Risk'!$D$12/('GW-1 Exp'!$J$26*(VLOOKUP(A87,[1]!TOX,33,FALSE))*(VLOOKUP(A87,[1]!TOX,12,FALSE)))))</f>
        <v>0</v>
      </c>
      <c r="J87" s="812">
        <f t="shared" si="20"/>
        <v>0</v>
      </c>
      <c r="K87" s="812">
        <f t="shared" si="21"/>
        <v>0</v>
      </c>
      <c r="L87" s="815">
        <f t="shared" si="22"/>
        <v>0</v>
      </c>
      <c r="M87" s="816">
        <f>IF(B87&lt;&gt;0,B87,IF((VLOOKUP(A87,[1]!TOX,44,FALSE))=0,O87,MIN(O87,(VLOOKUP(A87,[1]!TOX,44,FALSE)))))</f>
        <v>5.1649924877186386</v>
      </c>
      <c r="N87" s="817" t="str">
        <f t="shared" si="23"/>
        <v>Noncancer</v>
      </c>
      <c r="O87" s="818">
        <f t="shared" si="24"/>
        <v>5.1649924877186386</v>
      </c>
      <c r="P87" s="582">
        <f>IF($B87&lt;&gt;0,$B87,MIN(M87,(VLOOKUP(A87,[1]!TOX,79,FALSE))))</f>
        <v>5.1649924877186386</v>
      </c>
      <c r="Q87" s="819">
        <f>IF($B87&lt;&gt;0,$B87,MAX($P87,(VLOOKUP(A87,[1]!TOX,40,FALSE)),(VLOOKUP(A87,[1]!TOX,51,FALSE))))</f>
        <v>10</v>
      </c>
      <c r="R87" s="820">
        <f t="shared" si="25"/>
        <v>10</v>
      </c>
      <c r="S87" s="821" t="str">
        <f>IF(Q87=M87,N87,IF(Q87=(VLOOKUP(A87,[1]!TOX,40,FALSE)),"Bckgrnd",IF(Q87=(VLOOKUP(A87,[1]!TOX,79,FALSE)),"Ceiling","PQL")))</f>
        <v>PQL</v>
      </c>
    </row>
    <row r="88" spans="1:19" s="94" customFormat="1" ht="10" x14ac:dyDescent="0.25">
      <c r="A88" s="619" t="s">
        <v>236</v>
      </c>
      <c r="B88" s="822">
        <v>140</v>
      </c>
      <c r="C88" s="823" t="s">
        <v>342</v>
      </c>
      <c r="D88" s="812">
        <f>IF((VLOOKUP(A88,[1]!TOX,4,FALSE))=0,0,('[1]Target Risk'!$D$8*(VLOOKUP(A88,[1]!TOX,4,FALSE))/('GW-1 Exp'!$J$18*(VLOOKUP(A88,[1]!TOX,31,FALSE)))))</f>
        <v>64.877747252747255</v>
      </c>
      <c r="E88" s="812">
        <f t="shared" si="18"/>
        <v>125.50067049875945</v>
      </c>
      <c r="F88" s="812">
        <f t="shared" si="19"/>
        <v>1.9246040882745323</v>
      </c>
      <c r="G88" s="813">
        <f t="shared" si="17"/>
        <v>1.8417255244887865</v>
      </c>
      <c r="H88" s="814">
        <f>IF(ISERR(1/(VLOOKUP(A88,[1]!TOX,12,FALSE))),0,'[1]Target Risk'!$D$12/('GW-1 Exp'!$J$26*(VLOOKUP(A88,[1]!TOX,33,FALSE))*(VLOOKUP(A88,[1]!TOX,12,FALSE))))</f>
        <v>0</v>
      </c>
      <c r="I88" s="815">
        <f>IF(ISERR(1/(VLOOKUP(A88,[1]!TOX,12,FALSE))),0,IF(VLOOKUP(A88,[1]!TOX,36,FALSE)="M",'[1]Target Risk'!$D$12/(((('GW-1 Exp'!$J$33*(VLOOKUP(A88,[1]!TOX,33,FALSE))*(VLOOKUP(A88,[1]!TOX,12,FALSE))))*10)+((('GW-1 Exp'!$J$34*(VLOOKUP(A88,[1]!TOX,33,FALSE))*(VLOOKUP(A88,[1]!TOX,12,FALSE))))*3)+((('GW-1 Exp'!$J$35*(VLOOKUP(A88,[1]!TOX,33,FALSE))*(VLOOKUP(A88,[1]!TOX,12,FALSE))))*3)+((('GW-1 Exp'!$J$36*(VLOOKUP(A88,[1]!TOX,33,FALSE))*(VLOOKUP(A88,[1]!TOX,12,FALSE))))*1)),'[1]Target Risk'!$D$12/('GW-1 Exp'!$J$26*(VLOOKUP(A88,[1]!TOX,33,FALSE))*(VLOOKUP(A88,[1]!TOX,12,FALSE)))))</f>
        <v>0</v>
      </c>
      <c r="J88" s="812">
        <f t="shared" si="20"/>
        <v>0</v>
      </c>
      <c r="K88" s="812">
        <f t="shared" si="21"/>
        <v>0</v>
      </c>
      <c r="L88" s="815">
        <f t="shared" si="22"/>
        <v>0</v>
      </c>
      <c r="M88" s="816">
        <f>IF(B88&lt;&gt;0,B88,IF((VLOOKUP(A88,[1]!TOX,44,FALSE))=0,O88,MIN(O88,(VLOOKUP(A88,[1]!TOX,44,FALSE)))))</f>
        <v>140</v>
      </c>
      <c r="N88" s="817" t="str">
        <f t="shared" si="23"/>
        <v>ORSGL</v>
      </c>
      <c r="O88" s="818">
        <f t="shared" si="24"/>
        <v>1.8417255244887865</v>
      </c>
      <c r="P88" s="582">
        <f>IF($B88&lt;&gt;0,$B88,MIN(M88,(VLOOKUP(A88,[1]!TOX,79,FALSE))))</f>
        <v>140</v>
      </c>
      <c r="Q88" s="819">
        <f>IF($B88&lt;&gt;0,$B88,MAX($P88,(VLOOKUP(A88,[1]!TOX,40,FALSE)),(VLOOKUP(A88,[1]!TOX,51,FALSE))))</f>
        <v>140</v>
      </c>
      <c r="R88" s="820">
        <f t="shared" si="25"/>
        <v>140</v>
      </c>
      <c r="S88" s="821" t="str">
        <f>IF(Q88=M88,N88,IF(Q88=(VLOOKUP(A88,[1]!TOX,40,FALSE)),"Bckgrnd",IF(Q88=(VLOOKUP(A88,[1]!TOX,79,FALSE)),"Ceiling","PQL")))</f>
        <v>ORSGL</v>
      </c>
    </row>
    <row r="89" spans="1:19" s="94" customFormat="1" ht="10" x14ac:dyDescent="0.25">
      <c r="A89" s="619" t="s">
        <v>237</v>
      </c>
      <c r="B89" s="822">
        <v>100</v>
      </c>
      <c r="C89" s="823" t="s">
        <v>342</v>
      </c>
      <c r="D89" s="812">
        <f>IF((VLOOKUP(A89,[1]!TOX,4,FALSE))=0,0,('[1]Target Risk'!$D$8*(VLOOKUP(A89,[1]!TOX,4,FALSE))/('GW-1 Exp'!$J$18*(VLOOKUP(A89,[1]!TOX,31,FALSE)))))</f>
        <v>64.877747252747255</v>
      </c>
      <c r="E89" s="812">
        <f t="shared" si="18"/>
        <v>8306.312269263226</v>
      </c>
      <c r="F89" s="812">
        <f t="shared" si="19"/>
        <v>0</v>
      </c>
      <c r="G89" s="813">
        <f t="shared" si="17"/>
        <v>64.374936770571253</v>
      </c>
      <c r="H89" s="814">
        <f>IF(ISERR(1/(VLOOKUP(A89,[1]!TOX,12,FALSE))),0,'[1]Target Risk'!$D$12/('GW-1 Exp'!$J$26*(VLOOKUP(A89,[1]!TOX,33,FALSE))*(VLOOKUP(A89,[1]!TOX,12,FALSE))))</f>
        <v>0</v>
      </c>
      <c r="I89" s="815">
        <f>IF(ISERR(1/(VLOOKUP(A89,[1]!TOX,12,FALSE))),0,IF(VLOOKUP(A89,[1]!TOX,36,FALSE)="M",'[1]Target Risk'!$D$12/(((('GW-1 Exp'!$J$33*(VLOOKUP(A89,[1]!TOX,33,FALSE))*(VLOOKUP(A89,[1]!TOX,12,FALSE))))*10)+((('GW-1 Exp'!$J$34*(VLOOKUP(A89,[1]!TOX,33,FALSE))*(VLOOKUP(A89,[1]!TOX,12,FALSE))))*3)+((('GW-1 Exp'!$J$35*(VLOOKUP(A89,[1]!TOX,33,FALSE))*(VLOOKUP(A89,[1]!TOX,12,FALSE))))*3)+((('GW-1 Exp'!$J$36*(VLOOKUP(A89,[1]!TOX,33,FALSE))*(VLOOKUP(A89,[1]!TOX,12,FALSE))))*1)),'[1]Target Risk'!$D$12/('GW-1 Exp'!$J$26*(VLOOKUP(A89,[1]!TOX,33,FALSE))*(VLOOKUP(A89,[1]!TOX,12,FALSE)))))</f>
        <v>0</v>
      </c>
      <c r="J89" s="812">
        <f t="shared" si="20"/>
        <v>0</v>
      </c>
      <c r="K89" s="812">
        <f t="shared" si="21"/>
        <v>0</v>
      </c>
      <c r="L89" s="815">
        <f t="shared" si="22"/>
        <v>0</v>
      </c>
      <c r="M89" s="816">
        <f>IF(B89&lt;&gt;0,B89,IF((VLOOKUP(A89,[1]!TOX,44,FALSE))=0,O89,MIN(O89,(VLOOKUP(A89,[1]!TOX,44,FALSE)))))</f>
        <v>100</v>
      </c>
      <c r="N89" s="817" t="str">
        <f t="shared" si="23"/>
        <v>ORSGL</v>
      </c>
      <c r="O89" s="818">
        <f t="shared" si="24"/>
        <v>64.374936770571253</v>
      </c>
      <c r="P89" s="582">
        <f>IF($B89&lt;&gt;0,$B89,MIN(M89,(VLOOKUP(A89,[1]!TOX,79,FALSE))))</f>
        <v>100</v>
      </c>
      <c r="Q89" s="819">
        <f>IF($B89&lt;&gt;0,$B89,MAX($P89,(VLOOKUP(A89,[1]!TOX,40,FALSE)),(VLOOKUP(A89,[1]!TOX,51,FALSE))))</f>
        <v>100</v>
      </c>
      <c r="R89" s="820">
        <f t="shared" si="25"/>
        <v>100</v>
      </c>
      <c r="S89" s="821" t="str">
        <f>IF(Q89=M89,N89,IF(Q89=(VLOOKUP(A89,[1]!TOX,40,FALSE)),"Bckgrnd",IF(Q89=(VLOOKUP(A89,[1]!TOX,79,FALSE)),"Ceiling","PQL")))</f>
        <v>ORSGL</v>
      </c>
    </row>
    <row r="90" spans="1:19" s="94" customFormat="1" ht="10" x14ac:dyDescent="0.25">
      <c r="A90" s="619" t="s">
        <v>238</v>
      </c>
      <c r="B90" s="822">
        <v>1</v>
      </c>
      <c r="C90" s="823" t="s">
        <v>341</v>
      </c>
      <c r="D90" s="812">
        <f>IF((VLOOKUP(A90,[1]!TOX,4,FALSE))=0,0,('[1]Target Risk'!$D$8*(VLOOKUP(A90,[1]!TOX,4,FALSE))/('GW-1 Exp'!$J$18*(VLOOKUP(A90,[1]!TOX,31,FALSE)))))</f>
        <v>16.219436813186814</v>
      </c>
      <c r="E90" s="812">
        <f t="shared" si="18"/>
        <v>72.987465659340671</v>
      </c>
      <c r="F90" s="812">
        <f t="shared" si="19"/>
        <v>358.1256287116114</v>
      </c>
      <c r="G90" s="813">
        <f t="shared" si="17"/>
        <v>12.796278516319187</v>
      </c>
      <c r="H90" s="814">
        <f>IF(ISERR(1/(VLOOKUP(A90,[1]!TOX,12,FALSE))),0,'[1]Target Risk'!$D$12/('GW-1 Exp'!$J$26*(VLOOKUP(A90,[1]!TOX,33,FALSE))*(VLOOKUP(A90,[1]!TOX,12,FALSE))))</f>
        <v>0.13815555111372821</v>
      </c>
      <c r="I90" s="815">
        <f>IF(ISERR(1/(VLOOKUP(A90,[1]!TOX,12,FALSE))),0,IF(VLOOKUP(A90,[1]!TOX,36,FALSE)="M",'[1]Target Risk'!$D$12/(((('GW-1 Exp'!$J$33*(VLOOKUP(A90,[1]!TOX,33,FALSE))*(VLOOKUP(A90,[1]!TOX,12,FALSE))))*10)+((('GW-1 Exp'!$J$34*(VLOOKUP(A90,[1]!TOX,33,FALSE))*(VLOOKUP(A90,[1]!TOX,12,FALSE))))*3)+((('GW-1 Exp'!$J$35*(VLOOKUP(A90,[1]!TOX,33,FALSE))*(VLOOKUP(A90,[1]!TOX,12,FALSE))))*3)+((('GW-1 Exp'!$J$36*(VLOOKUP(A90,[1]!TOX,33,FALSE))*(VLOOKUP(A90,[1]!TOX,12,FALSE))))*1)),'[1]Target Risk'!$D$12/('GW-1 Exp'!$J$26*(VLOOKUP(A90,[1]!TOX,33,FALSE))*(VLOOKUP(A90,[1]!TOX,12,FALSE)))))</f>
        <v>0.13815555111372821</v>
      </c>
      <c r="J90" s="812">
        <f t="shared" si="20"/>
        <v>0.62169998001177684</v>
      </c>
      <c r="K90" s="812">
        <f t="shared" si="21"/>
        <v>348.16952110985687</v>
      </c>
      <c r="L90" s="815">
        <f t="shared" si="22"/>
        <v>0.11299967364387126</v>
      </c>
      <c r="M90" s="816">
        <f>IF(B90&lt;&gt;0,B90,IF((VLOOKUP(A90,[1]!TOX,44,FALSE))=0,O90,MIN(O90,(VLOOKUP(A90,[1]!TOX,44,FALSE)))))</f>
        <v>1</v>
      </c>
      <c r="N90" s="817" t="str">
        <f t="shared" si="23"/>
        <v>MMCL</v>
      </c>
      <c r="O90" s="818">
        <f t="shared" si="24"/>
        <v>0.11299967364387126</v>
      </c>
      <c r="P90" s="582">
        <f>IF($B90&lt;&gt;0,$B90,MIN(M90,(VLOOKUP(A90,[1]!TOX,79,FALSE))))</f>
        <v>1</v>
      </c>
      <c r="Q90" s="819">
        <f>IF($B90&lt;&gt;0,$B90,MAX($P90,(VLOOKUP(A90,[1]!TOX,40,FALSE)),(VLOOKUP(A90,[1]!TOX,51,FALSE))))</f>
        <v>1</v>
      </c>
      <c r="R90" s="820">
        <f t="shared" si="25"/>
        <v>1</v>
      </c>
      <c r="S90" s="821" t="str">
        <f>IF(Q90=M90,N90,IF(Q90=(VLOOKUP(A90,[1]!TOX,40,FALSE)),"Bckgrnd",IF(Q90=(VLOOKUP(A90,[1]!TOX,79,FALSE)),"Ceiling","PQL")))</f>
        <v>MMCL</v>
      </c>
    </row>
    <row r="91" spans="1:19" s="94" customFormat="1" ht="20" x14ac:dyDescent="0.25">
      <c r="A91" s="621" t="s">
        <v>940</v>
      </c>
      <c r="B91" s="822">
        <v>0.02</v>
      </c>
      <c r="C91" s="823" t="s">
        <v>342</v>
      </c>
      <c r="D91" s="812">
        <f>IF((VLOOKUP(A91,[1]!TOX,4,FALSE))=0,0,('[1]Target Risk'!$D$8*(VLOOKUP(A91,[1]!TOX,4,FALSE))/('GW-1 Exp'!$J$18*(VLOOKUP(A91,[1]!TOX,31,FALSE)))))</f>
        <v>1.6219436813186817E-2</v>
      </c>
      <c r="E91" s="812">
        <f t="shared" si="18"/>
        <v>0</v>
      </c>
      <c r="F91" s="812"/>
      <c r="G91" s="813">
        <f t="shared" si="17"/>
        <v>1.6219436813186817E-2</v>
      </c>
      <c r="H91" s="814"/>
      <c r="I91" s="812"/>
      <c r="J91" s="812"/>
      <c r="K91" s="812"/>
      <c r="L91" s="815"/>
      <c r="M91" s="816">
        <f>IF(B91&lt;&gt;0,B91,IF((VLOOKUP(A91,[1]!TOX,44,FALSE))=0,O91,MIN(O91,(VLOOKUP(A91,[1]!TOX,44,FALSE)))))</f>
        <v>0.02</v>
      </c>
      <c r="N91" s="817" t="str">
        <f t="shared" si="23"/>
        <v>ORSGL</v>
      </c>
      <c r="O91" s="818">
        <f t="shared" si="24"/>
        <v>1.6219436813186817E-2</v>
      </c>
      <c r="P91" s="582">
        <f>IF($B91&lt;&gt;0,$B91,MIN(M91,(VLOOKUP(A91,[1]!TOX,79,FALSE))))</f>
        <v>0.02</v>
      </c>
      <c r="Q91" s="819">
        <f>IF($B91&lt;&gt;0,$B91,MAX($P91,(VLOOKUP(A91,[1]!TOX,40,FALSE)),(VLOOKUP(A91,[1]!TOX,51,FALSE))))</f>
        <v>0.02</v>
      </c>
      <c r="R91" s="820">
        <f t="shared" si="25"/>
        <v>0.02</v>
      </c>
      <c r="S91" s="821" t="str">
        <f>IF(Q91=M91,N91,IF(Q91=(VLOOKUP(A91,[1]!TOX,40,FALSE)),"Bckgrnd",IF(Q91=(VLOOKUP(A91,[1]!TOX,79,FALSE)),"Ceiling","PQL")))</f>
        <v>ORSGL</v>
      </c>
    </row>
    <row r="92" spans="1:19" s="94" customFormat="1" ht="10" x14ac:dyDescent="0.25">
      <c r="A92" s="621" t="s">
        <v>949</v>
      </c>
      <c r="B92" s="822">
        <v>0.02</v>
      </c>
      <c r="C92" s="823" t="s">
        <v>342</v>
      </c>
      <c r="D92" s="812">
        <f>IF((VLOOKUP(A92,[1]!TOX,4,FALSE))=0,0,('[1]Target Risk'!$D$8*(VLOOKUP(A92,[1]!TOX,4,FALSE))/('GW-1 Exp'!$J$18*(VLOOKUP(A92,[1]!TOX,31,FALSE)))))</f>
        <v>1.6219436813186817E-2</v>
      </c>
      <c r="E92" s="812">
        <f t="shared" si="18"/>
        <v>0</v>
      </c>
      <c r="F92" s="812"/>
      <c r="G92" s="813">
        <f t="shared" si="17"/>
        <v>1.6219436813186817E-2</v>
      </c>
      <c r="H92" s="814"/>
      <c r="I92" s="812"/>
      <c r="J92" s="812"/>
      <c r="K92" s="812"/>
      <c r="L92" s="815"/>
      <c r="M92" s="816">
        <f>IF(B92&lt;&gt;0,B92,IF((VLOOKUP(A92,[1]!TOX,44,FALSE))=0,O92,MIN(O92,(VLOOKUP(A92,[1]!TOX,44,FALSE)))))</f>
        <v>0.02</v>
      </c>
      <c r="N92" s="817" t="str">
        <f t="shared" si="23"/>
        <v>ORSGL</v>
      </c>
      <c r="O92" s="818">
        <f t="shared" si="24"/>
        <v>1.6219436813186817E-2</v>
      </c>
      <c r="P92" s="582">
        <f>IF($B92&lt;&gt;0,$B92,MIN(M92,(VLOOKUP(A92,[1]!TOX,79,FALSE))))</f>
        <v>0.02</v>
      </c>
      <c r="Q92" s="819">
        <f>IF($B92&lt;&gt;0,$B92,MAX($P92,(VLOOKUP(A92,[1]!TOX,40,FALSE)),(VLOOKUP(A92,[1]!TOX,51,FALSE))))</f>
        <v>0.02</v>
      </c>
      <c r="R92" s="820">
        <f t="shared" si="25"/>
        <v>0.02</v>
      </c>
      <c r="S92" s="821" t="str">
        <f>IF(Q92=M92,N92,IF(Q92=(VLOOKUP(A92,[1]!TOX,40,FALSE)),"Bckgrnd",IF(Q92=(VLOOKUP(A92,[1]!TOX,79,FALSE)),"Ceiling","PQL")))</f>
        <v>ORSGL</v>
      </c>
    </row>
    <row r="93" spans="1:19" s="94" customFormat="1" ht="20" x14ac:dyDescent="0.25">
      <c r="A93" s="619" t="s">
        <v>891</v>
      </c>
      <c r="B93" s="822">
        <v>0.02</v>
      </c>
      <c r="C93" s="823" t="s">
        <v>342</v>
      </c>
      <c r="D93" s="812">
        <f>IF((VLOOKUP(A93,[1]!TOX,4,FALSE))=0,0,('[1]Target Risk'!$D$8*(VLOOKUP(A93,[1]!TOX,4,FALSE))/('GW-1 Exp'!$J$18*(VLOOKUP(A93,[1]!TOX,31,FALSE)))))</f>
        <v>1.6219436813186817E-2</v>
      </c>
      <c r="E93" s="812">
        <f t="shared" si="18"/>
        <v>0</v>
      </c>
      <c r="F93" s="812">
        <f t="shared" si="19"/>
        <v>0</v>
      </c>
      <c r="G93" s="813">
        <f t="shared" si="17"/>
        <v>1.6219436813186817E-2</v>
      </c>
      <c r="H93" s="814">
        <f>IF(ISERR(1/(VLOOKUP(A93,[1]!TOX,12,FALSE))),0,'[1]Target Risk'!$D$12/('GW-1 Exp'!$J$26*(VLOOKUP(A93,[1]!TOX,33,FALSE))*(VLOOKUP(A93,[1]!TOX,12,FALSE))))</f>
        <v>0</v>
      </c>
      <c r="I93" s="812">
        <f>IF(ISERR(1/(VLOOKUP(A93,[1]!TOX,12,FALSE))),0,IF(VLOOKUP(A93,[1]!TOX,36,FALSE)="M",'[1]Target Risk'!$D$12/(((('GW-1 Exp'!$J$33*(VLOOKUP(A93,[1]!TOX,33,FALSE))*(VLOOKUP(A93,[1]!TOX,12,FALSE))))*10)+((('GW-1 Exp'!$J$34*(VLOOKUP(A93,[1]!TOX,33,FALSE))*(VLOOKUP(A93,[1]!TOX,12,FALSE))))*3)+((('GW-1 Exp'!$J$35*(VLOOKUP(A93,[1]!TOX,33,FALSE))*(VLOOKUP(A93,[1]!TOX,12,FALSE))))*3)+((('GW-1 Exp'!$J$36*(VLOOKUP(A93,[1]!TOX,33,FALSE))*(VLOOKUP(A93,[1]!TOX,12,FALSE))))*1)),'[1]Target Risk'!$D$12/('GW-1 Exp'!$J$26*(VLOOKUP(A93,[1]!TOX,33,FALSE))*(VLOOKUP(A93,[1]!TOX,12,FALSE)))))</f>
        <v>0</v>
      </c>
      <c r="J93" s="812">
        <f t="shared" si="20"/>
        <v>0</v>
      </c>
      <c r="K93" s="812">
        <f t="shared" si="21"/>
        <v>0</v>
      </c>
      <c r="L93" s="815"/>
      <c r="M93" s="816">
        <f>IF(B93&lt;&gt;0,B93,IF((VLOOKUP(A93,[1]!TOX,44,FALSE))=0,O93,MIN(O93,(VLOOKUP(A93,[1]!TOX,44,FALSE)))))</f>
        <v>0.02</v>
      </c>
      <c r="N93" s="817" t="str">
        <f t="shared" si="23"/>
        <v>ORSGL</v>
      </c>
      <c r="O93" s="818">
        <f t="shared" si="24"/>
        <v>1.6219436813186817E-2</v>
      </c>
      <c r="P93" s="582">
        <f>IF($B93&lt;&gt;0,$B93,MIN(M93,(VLOOKUP(A93,[1]!TOX,79,FALSE))))</f>
        <v>0.02</v>
      </c>
      <c r="Q93" s="819">
        <f>IF($B93&lt;&gt;0,$B93,MAX($P93,(VLOOKUP(A93,[1]!TOX,40,FALSE)),(VLOOKUP(A93,[1]!TOX,51,FALSE))))</f>
        <v>0.02</v>
      </c>
      <c r="R93" s="820">
        <f t="shared" si="25"/>
        <v>0.02</v>
      </c>
      <c r="S93" s="821" t="str">
        <f>IF(Q93=M93,N93,IF(Q93=(VLOOKUP(A93,[1]!TOX,40,FALSE)),"Bckgrnd",IF(Q93=(VLOOKUP(A93,[1]!TOX,79,FALSE)),"Ceiling","PQL")))</f>
        <v>ORSGL</v>
      </c>
    </row>
    <row r="94" spans="1:19" s="94" customFormat="1" ht="20" x14ac:dyDescent="0.25">
      <c r="A94" s="619" t="s">
        <v>892</v>
      </c>
      <c r="B94" s="822">
        <v>0.02</v>
      </c>
      <c r="C94" s="823" t="s">
        <v>342</v>
      </c>
      <c r="D94" s="812">
        <f>IF((VLOOKUP(A94,[1]!TOX,4,FALSE))=0,0,('[1]Target Risk'!$D$8*(VLOOKUP(A94,[1]!TOX,4,FALSE))/('GW-1 Exp'!$J$18*(VLOOKUP(A94,[1]!TOX,31,FALSE)))))</f>
        <v>1.6219436813186817E-2</v>
      </c>
      <c r="E94" s="812">
        <f t="shared" si="18"/>
        <v>0</v>
      </c>
      <c r="F94" s="812">
        <f t="shared" si="19"/>
        <v>0</v>
      </c>
      <c r="G94" s="813">
        <f t="shared" si="17"/>
        <v>1.6219436813186817E-2</v>
      </c>
      <c r="H94" s="814">
        <f>IF(ISERR(1/(VLOOKUP(A94,[1]!TOX,12,FALSE))),0,'[1]Target Risk'!$D$12/('GW-1 Exp'!$J$26*(VLOOKUP(A94,[1]!TOX,33,FALSE))*(VLOOKUP(A94,[1]!TOX,12,FALSE))))</f>
        <v>0</v>
      </c>
      <c r="I94" s="812">
        <f>IF(ISERR(1/(VLOOKUP(A94,[1]!TOX,12,FALSE))),0,IF(VLOOKUP(A94,[1]!TOX,36,FALSE)="M",'[1]Target Risk'!$D$12/(((('GW-1 Exp'!$J$33*(VLOOKUP(A94,[1]!TOX,33,FALSE))*(VLOOKUP(A94,[1]!TOX,12,FALSE))))*10)+((('GW-1 Exp'!$J$34*(VLOOKUP(A94,[1]!TOX,33,FALSE))*(VLOOKUP(A94,[1]!TOX,12,FALSE))))*3)+((('GW-1 Exp'!$J$35*(VLOOKUP(A94,[1]!TOX,33,FALSE))*(VLOOKUP(A94,[1]!TOX,12,FALSE))))*3)+((('GW-1 Exp'!$J$36*(VLOOKUP(A94,[1]!TOX,33,FALSE))*(VLOOKUP(A94,[1]!TOX,12,FALSE))))*1)),'[1]Target Risk'!$D$12/('GW-1 Exp'!$J$26*(VLOOKUP(A94,[1]!TOX,33,FALSE))*(VLOOKUP(A94,[1]!TOX,12,FALSE)))))</f>
        <v>0</v>
      </c>
      <c r="J94" s="812">
        <f t="shared" si="20"/>
        <v>0</v>
      </c>
      <c r="K94" s="812">
        <f t="shared" si="21"/>
        <v>0</v>
      </c>
      <c r="L94" s="815"/>
      <c r="M94" s="816">
        <f>IF(B94&lt;&gt;0,B94,IF((VLOOKUP(A94,[1]!TOX,44,FALSE))=0,O94,MIN(O94,(VLOOKUP(A94,[1]!TOX,44,FALSE)))))</f>
        <v>0.02</v>
      </c>
      <c r="N94" s="817" t="str">
        <f t="shared" si="23"/>
        <v>ORSGL</v>
      </c>
      <c r="O94" s="818">
        <f t="shared" si="24"/>
        <v>1.6219436813186817E-2</v>
      </c>
      <c r="P94" s="582">
        <f>IF($B94&lt;&gt;0,$B94,MIN(M94,(VLOOKUP(A94,[1]!TOX,79,FALSE))))</f>
        <v>0.02</v>
      </c>
      <c r="Q94" s="819">
        <f>IF($B94&lt;&gt;0,$B94,MAX($P94,(VLOOKUP(A94,[1]!TOX,40,FALSE)),(VLOOKUP(A94,[1]!TOX,51,FALSE))))</f>
        <v>0.02</v>
      </c>
      <c r="R94" s="820">
        <f t="shared" si="25"/>
        <v>0.02</v>
      </c>
      <c r="S94" s="821" t="str">
        <f>IF(Q94=M94,N94,IF(Q94=(VLOOKUP(A94,[1]!TOX,40,FALSE)),"Bckgrnd",IF(Q94=(VLOOKUP(A94,[1]!TOX,79,FALSE)),"Ceiling","PQL")))</f>
        <v>ORSGL</v>
      </c>
    </row>
    <row r="95" spans="1:19" s="94" customFormat="1" ht="10" x14ac:dyDescent="0.25">
      <c r="A95" s="619" t="s">
        <v>890</v>
      </c>
      <c r="B95" s="822">
        <v>0.02</v>
      </c>
      <c r="C95" s="823" t="s">
        <v>342</v>
      </c>
      <c r="D95" s="812">
        <f>IF((VLOOKUP(A95,[1]!TOX,4,FALSE))=0,0,('[1]Target Risk'!$D$8*(VLOOKUP(A95,[1]!TOX,4,FALSE))/('GW-1 Exp'!$J$18*(VLOOKUP(A95,[1]!TOX,31,FALSE)))))</f>
        <v>1.6219436813186817E-2</v>
      </c>
      <c r="E95" s="812">
        <f t="shared" si="18"/>
        <v>0</v>
      </c>
      <c r="F95" s="812">
        <f t="shared" si="19"/>
        <v>0</v>
      </c>
      <c r="G95" s="813">
        <f t="shared" si="17"/>
        <v>1.6219436813186817E-2</v>
      </c>
      <c r="H95" s="814">
        <f>IF(ISERR(1/(VLOOKUP(A95,[1]!TOX,12,FALSE))),0,'[1]Target Risk'!$D$12/('GW-1 Exp'!$J$26*(VLOOKUP(A95,[1]!TOX,33,FALSE))*(VLOOKUP(A95,[1]!TOX,12,FALSE))))</f>
        <v>0</v>
      </c>
      <c r="I95" s="812">
        <f>IF(ISERR(1/(VLOOKUP(A95,[1]!TOX,12,FALSE))),0,IF(VLOOKUP(A95,[1]!TOX,36,FALSE)="M",'[1]Target Risk'!$D$12/(((('GW-1 Exp'!$J$33*(VLOOKUP(A95,[1]!TOX,33,FALSE))*(VLOOKUP(A95,[1]!TOX,12,FALSE))))*10)+((('GW-1 Exp'!$J$34*(VLOOKUP(A95,[1]!TOX,33,FALSE))*(VLOOKUP(A95,[1]!TOX,12,FALSE))))*3)+((('GW-1 Exp'!$J$35*(VLOOKUP(A95,[1]!TOX,33,FALSE))*(VLOOKUP(A95,[1]!TOX,12,FALSE))))*3)+((('GW-1 Exp'!$J$36*(VLOOKUP(A95,[1]!TOX,33,FALSE))*(VLOOKUP(A95,[1]!TOX,12,FALSE))))*1)),'[1]Target Risk'!$D$12/('GW-1 Exp'!$J$26*(VLOOKUP(A95,[1]!TOX,33,FALSE))*(VLOOKUP(A95,[1]!TOX,12,FALSE)))))</f>
        <v>0</v>
      </c>
      <c r="J95" s="812">
        <f t="shared" si="20"/>
        <v>0</v>
      </c>
      <c r="K95" s="812">
        <f t="shared" si="21"/>
        <v>0</v>
      </c>
      <c r="L95" s="815"/>
      <c r="M95" s="816">
        <f>IF(B95&lt;&gt;0,B95,IF((VLOOKUP(A95,[1]!TOX,44,FALSE))=0,O95,MIN(O95,(VLOOKUP(A95,[1]!TOX,44,FALSE)))))</f>
        <v>0.02</v>
      </c>
      <c r="N95" s="817" t="str">
        <f t="shared" si="23"/>
        <v>ORSGL</v>
      </c>
      <c r="O95" s="818">
        <f t="shared" si="24"/>
        <v>1.6219436813186817E-2</v>
      </c>
      <c r="P95" s="582">
        <f>IF($B95&lt;&gt;0,$B95,MIN(M95,(VLOOKUP(A95,[1]!TOX,79,FALSE))))</f>
        <v>0.02</v>
      </c>
      <c r="Q95" s="819">
        <f>IF($B95&lt;&gt;0,$B95,MAX($P95,(VLOOKUP(A95,[1]!TOX,40,FALSE)),(VLOOKUP(A95,[1]!TOX,51,FALSE))))</f>
        <v>0.02</v>
      </c>
      <c r="R95" s="820">
        <f t="shared" si="25"/>
        <v>0.02</v>
      </c>
      <c r="S95" s="821" t="str">
        <f>IF(Q95=M95,N95,IF(Q95=(VLOOKUP(A95,[1]!TOX,40,FALSE)),"Bckgrnd",IF(Q95=(VLOOKUP(A95,[1]!TOX,79,FALSE)),"Ceiling","PQL")))</f>
        <v>ORSGL</v>
      </c>
    </row>
    <row r="96" spans="1:19" s="94" customFormat="1" ht="20" x14ac:dyDescent="0.25">
      <c r="A96" s="619" t="s">
        <v>927</v>
      </c>
      <c r="B96" s="822">
        <v>0.02</v>
      </c>
      <c r="C96" s="823" t="s">
        <v>342</v>
      </c>
      <c r="D96" s="812">
        <f>IF((VLOOKUP(A96,[1]!TOX,4,FALSE))=0,0,('[1]Target Risk'!$D$8*(VLOOKUP(A96,[1]!TOX,4,FALSE))/('GW-1 Exp'!$J$18*(VLOOKUP(A96,[1]!TOX,31,FALSE)))))</f>
        <v>1.6219436813186817E-2</v>
      </c>
      <c r="E96" s="812">
        <f t="shared" si="18"/>
        <v>0</v>
      </c>
      <c r="F96" s="812">
        <f t="shared" si="19"/>
        <v>0</v>
      </c>
      <c r="G96" s="813">
        <f t="shared" si="17"/>
        <v>1.6219436813186817E-2</v>
      </c>
      <c r="H96" s="814">
        <f>IF(ISERR(1/(VLOOKUP(A96,[1]!TOX,12,FALSE))),0,'[1]Target Risk'!$D$12/('GW-1 Exp'!$J$26*(VLOOKUP(A96,[1]!TOX,33,FALSE))*(VLOOKUP(A96,[1]!TOX,12,FALSE))))</f>
        <v>0</v>
      </c>
      <c r="I96" s="812">
        <f>IF(ISERR(1/(VLOOKUP(A96,[1]!TOX,12,FALSE))),0,IF(VLOOKUP(A96,[1]!TOX,36,FALSE)="M",'[1]Target Risk'!$D$12/(((('GW-1 Exp'!$J$33*(VLOOKUP(A96,[1]!TOX,33,FALSE))*(VLOOKUP(A96,[1]!TOX,12,FALSE))))*10)+((('GW-1 Exp'!$J$34*(VLOOKUP(A96,[1]!TOX,33,FALSE))*(VLOOKUP(A96,[1]!TOX,12,FALSE))))*3)+((('GW-1 Exp'!$J$35*(VLOOKUP(A96,[1]!TOX,33,FALSE))*(VLOOKUP(A96,[1]!TOX,12,FALSE))))*3)+((('GW-1 Exp'!$J$36*(VLOOKUP(A96,[1]!TOX,33,FALSE))*(VLOOKUP(A96,[1]!TOX,12,FALSE))))*1)),'[1]Target Risk'!$D$12/('GW-1 Exp'!$J$26*(VLOOKUP(A96,[1]!TOX,33,FALSE))*(VLOOKUP(A96,[1]!TOX,12,FALSE)))))</f>
        <v>0</v>
      </c>
      <c r="J96" s="812">
        <f t="shared" si="20"/>
        <v>0</v>
      </c>
      <c r="K96" s="812">
        <f t="shared" si="21"/>
        <v>0</v>
      </c>
      <c r="L96" s="815"/>
      <c r="M96" s="816">
        <f>IF(B96&lt;&gt;0,B96,IF((VLOOKUP(A96,[1]!TOX,44,FALSE))=0,O96,MIN(O96,(VLOOKUP(A96,[1]!TOX,44,FALSE)))))</f>
        <v>0.02</v>
      </c>
      <c r="N96" s="817" t="str">
        <f t="shared" si="23"/>
        <v>ORSGL</v>
      </c>
      <c r="O96" s="818">
        <f t="shared" si="24"/>
        <v>1.6219436813186817E-2</v>
      </c>
      <c r="P96" s="582">
        <f>IF($B96&lt;&gt;0,$B96,MIN(M96,(VLOOKUP(A96,[1]!TOX,79,FALSE))))</f>
        <v>0.02</v>
      </c>
      <c r="Q96" s="819">
        <f>IF($B96&lt;&gt;0,$B96,MAX($P96,(VLOOKUP(A96,[1]!TOX,40,FALSE)),(VLOOKUP(A96,[1]!TOX,51,FALSE))))</f>
        <v>0.02</v>
      </c>
      <c r="R96" s="820">
        <f t="shared" si="25"/>
        <v>0.02</v>
      </c>
      <c r="S96" s="821" t="str">
        <f>IF(Q96=M96,N96,IF(Q96=(VLOOKUP(A96,[1]!TOX,40,FALSE)),"Bckgrnd",IF(Q96=(VLOOKUP(A96,[1]!TOX,79,FALSE)),"Ceiling","PQL")))</f>
        <v>ORSGL</v>
      </c>
    </row>
    <row r="97" spans="1:19" s="94" customFormat="1" ht="10" x14ac:dyDescent="0.25">
      <c r="A97" s="619" t="s">
        <v>893</v>
      </c>
      <c r="B97" s="822">
        <v>0.02</v>
      </c>
      <c r="C97" s="823" t="s">
        <v>342</v>
      </c>
      <c r="D97" s="812">
        <f>IF((VLOOKUP(A97,[1]!TOX,4,FALSE))=0,0,('[1]Target Risk'!$D$8*(VLOOKUP(A97,[1]!TOX,4,FALSE))/('GW-1 Exp'!$J$18*(VLOOKUP(A97,[1]!TOX,31,FALSE)))))</f>
        <v>1.6219436813186817E-2</v>
      </c>
      <c r="E97" s="812">
        <f t="shared" si="18"/>
        <v>0</v>
      </c>
      <c r="F97" s="812">
        <f t="shared" si="19"/>
        <v>0</v>
      </c>
      <c r="G97" s="813">
        <f t="shared" si="17"/>
        <v>1.6219436813186817E-2</v>
      </c>
      <c r="H97" s="814">
        <f>IF(ISERR(1/(VLOOKUP(A97,[1]!TOX,12,FALSE))),0,'[1]Target Risk'!$D$12/('GW-1 Exp'!$J$26*(VLOOKUP(A97,[1]!TOX,33,FALSE))*(VLOOKUP(A97,[1]!TOX,12,FALSE))))</f>
        <v>0</v>
      </c>
      <c r="I97" s="812">
        <f>IF(ISERR(1/(VLOOKUP(A97,[1]!TOX,12,FALSE))),0,IF(VLOOKUP(A97,[1]!TOX,36,FALSE)="M",'[1]Target Risk'!$D$12/(((('GW-1 Exp'!$J$33*(VLOOKUP(A97,[1]!TOX,33,FALSE))*(VLOOKUP(A97,[1]!TOX,12,FALSE))))*10)+((('GW-1 Exp'!$J$34*(VLOOKUP(A97,[1]!TOX,33,FALSE))*(VLOOKUP(A97,[1]!TOX,12,FALSE))))*3)+((('GW-1 Exp'!$J$35*(VLOOKUP(A97,[1]!TOX,33,FALSE))*(VLOOKUP(A97,[1]!TOX,12,FALSE))))*3)+((('GW-1 Exp'!$J$36*(VLOOKUP(A97,[1]!TOX,33,FALSE))*(VLOOKUP(A97,[1]!TOX,12,FALSE))))*1)),'[1]Target Risk'!$D$12/('GW-1 Exp'!$J$26*(VLOOKUP(A97,[1]!TOX,33,FALSE))*(VLOOKUP(A97,[1]!TOX,12,FALSE)))))</f>
        <v>0</v>
      </c>
      <c r="J97" s="812">
        <f t="shared" si="20"/>
        <v>0</v>
      </c>
      <c r="K97" s="812">
        <f t="shared" si="21"/>
        <v>0</v>
      </c>
      <c r="L97" s="815"/>
      <c r="M97" s="816">
        <f>IF(B97&lt;&gt;0,B97,IF((VLOOKUP(A97,[1]!TOX,44,FALSE))=0,O97,MIN(O97,(VLOOKUP(A97,[1]!TOX,44,FALSE)))))</f>
        <v>0.02</v>
      </c>
      <c r="N97" s="817" t="str">
        <f t="shared" si="23"/>
        <v>ORSGL</v>
      </c>
      <c r="O97" s="818">
        <f t="shared" si="24"/>
        <v>1.6219436813186817E-2</v>
      </c>
      <c r="P97" s="582">
        <f>IF($B97&lt;&gt;0,$B97,MIN(M97,(VLOOKUP(A97,[1]!TOX,79,FALSE))))</f>
        <v>0.02</v>
      </c>
      <c r="Q97" s="819">
        <f>IF($B97&lt;&gt;0,$B97,MAX($P97,(VLOOKUP(A97,[1]!TOX,40,FALSE)),(VLOOKUP(A97,[1]!TOX,51,FALSE))))</f>
        <v>0.02</v>
      </c>
      <c r="R97" s="820">
        <f t="shared" si="25"/>
        <v>0.02</v>
      </c>
      <c r="S97" s="821" t="str">
        <f>IF(Q97=M97,N97,IF(Q97=(VLOOKUP(A97,[1]!TOX,40,FALSE)),"Bckgrnd",IF(Q97=(VLOOKUP(A97,[1]!TOX,79,FALSE)),"Ceiling","PQL")))</f>
        <v>ORSGL</v>
      </c>
    </row>
    <row r="98" spans="1:19" s="94" customFormat="1" ht="10" x14ac:dyDescent="0.25">
      <c r="A98" s="619" t="s">
        <v>615</v>
      </c>
      <c r="B98" s="822">
        <v>2</v>
      </c>
      <c r="C98" s="823" t="s">
        <v>341</v>
      </c>
      <c r="D98" s="812">
        <f>IF((VLOOKUP(A98,[1]!TOX,4,FALSE))=0,0,('[1]Target Risk'!$D$8*(VLOOKUP(A98,[1]!TOX,4,FALSE))/('GW-1 Exp'!$J$18*(VLOOKUP(A98,[1]!TOX,31,FALSE)))))</f>
        <v>0.22707211538461541</v>
      </c>
      <c r="E98" s="812">
        <f t="shared" si="18"/>
        <v>0</v>
      </c>
      <c r="F98" s="812">
        <f>(VLOOKUP(A98,DWInhale,13,FALSE))</f>
        <v>0</v>
      </c>
      <c r="G98" s="813">
        <f>IF(AND(D98=0,E98=0),F98,IF(AND(E98=0,F98=0),D98,IF(AND(D98=0,F98=0),E98,IF(E98=0,1/((1/D98)+(1/F98)),IF(D98=0,1/((1/E98)+(1/F98)),IF(F98=0,1/((1/D98)+(1/E98)),1/((1/D98)+(1/E98)+(1/F98))))))))</f>
        <v>0.22707211538461541</v>
      </c>
      <c r="H98" s="814">
        <f>IF(ISERR(1/(VLOOKUP(A98,[1]!TOX,12,FALSE))),0,'[1]Target Risk'!$D$12/('GW-1 Exp'!$J$26*(VLOOKUP(A98,[1]!TOX,33,FALSE))*(VLOOKUP(A98,[1]!TOX,12,FALSE))))</f>
        <v>0</v>
      </c>
      <c r="I98" s="812">
        <f>IF(ISERR(1/(VLOOKUP(A98,[1]!TOX,12,FALSE))),0,IF(VLOOKUP(A98,[1]!TOX,36,FALSE)="M",'[1]Target Risk'!$D$12/(((('GW-1 Exp'!$J$33*(VLOOKUP(A98,[1]!TOX,33,FALSE))*(VLOOKUP(A98,[1]!TOX,12,FALSE))))*10)+((('GW-1 Exp'!$J$34*(VLOOKUP(A98,[1]!TOX,33,FALSE))*(VLOOKUP(A98,[1]!TOX,12,FALSE))))*3)+((('GW-1 Exp'!$J$35*(VLOOKUP(A98,[1]!TOX,33,FALSE))*(VLOOKUP(A98,[1]!TOX,12,FALSE))))*3)+((('GW-1 Exp'!$J$36*(VLOOKUP(A98,[1]!TOX,33,FALSE))*(VLOOKUP(A98,[1]!TOX,12,FALSE))))*1)),'[1]Target Risk'!$D$12/('GW-1 Exp'!$J$26*(VLOOKUP(A98,[1]!TOX,33,FALSE))*(VLOOKUP(A98,[1]!TOX,12,FALSE)))))</f>
        <v>0</v>
      </c>
      <c r="J98" s="812">
        <f>(VLOOKUP(A98,DWDERM,20,FALSE))</f>
        <v>0</v>
      </c>
      <c r="K98" s="812">
        <f>(VLOOKUP(A98,DWInhale,14,FALSE))</f>
        <v>0</v>
      </c>
      <c r="L98" s="815">
        <f>IF(AND(I98=0,J98=0),K98,IF(AND(J98=0,K98=0),I98,IF(AND(I98=0,K98=0),J98,IF(J98=0,1/((1/I98)+(1/K98)),IF(I98=0,1/((1/J98)+(1/K98)),IF(K98=0,1/((1/I98)+(1/J98)),1/((1/I98)+(1/J98)+(1/K98))))))))</f>
        <v>0</v>
      </c>
      <c r="M98" s="816">
        <f>IF(B98&lt;&gt;0,B98,IF((VLOOKUP(A98,[1]!TOX,44,FALSE))=0,O98,MIN(O98,(VLOOKUP(A98,[1]!TOX,44,FALSE)))))</f>
        <v>2</v>
      </c>
      <c r="N98" s="817" t="str">
        <f>IF(M98=0,"Not Calculated",IF(M98=B98,C98,IF(M98=G98,"Noncancer",IF(M98=L98,"Cancer","Odor"))))</f>
        <v>MMCL</v>
      </c>
      <c r="O98" s="818">
        <f>IF(MIN(G98,L98)&lt;&gt;0,MIN(G98,L98),MAX(G98,L98))</f>
        <v>0.22707211538461541</v>
      </c>
      <c r="P98" s="582">
        <f>IF($B98&lt;&gt;0,$B98,MIN(M98,(VLOOKUP(A98,[1]!TOX,79,FALSE))))</f>
        <v>2</v>
      </c>
      <c r="Q98" s="819">
        <f>IF($B98&lt;&gt;0,$B98,MAX($P98,(VLOOKUP(A98,[1]!TOX,40,FALSE)),(VLOOKUP(A98,[1]!TOX,51,FALSE))))</f>
        <v>2</v>
      </c>
      <c r="R98" s="820">
        <f>IF(ISNUMBER(B98),Q98,ROUND(Q98,-INT(LOG10(ABS(Q98)))))</f>
        <v>2</v>
      </c>
      <c r="S98" s="821" t="str">
        <f>IF(Q98=M98,N98,IF(Q98=(VLOOKUP(A98,[1]!TOX,40,FALSE)),"Bckgrnd",IF(Q98=(VLOOKUP(A98,[1]!TOX,79,FALSE)),"Ceiling","PQL")))</f>
        <v>MMCL</v>
      </c>
    </row>
    <row r="99" spans="1:19" s="94" customFormat="1" ht="10" x14ac:dyDescent="0.25">
      <c r="A99" s="619" t="s">
        <v>103</v>
      </c>
      <c r="B99" s="822">
        <v>200</v>
      </c>
      <c r="C99" s="823" t="s">
        <v>342</v>
      </c>
      <c r="D99" s="812">
        <f>IF((VLOOKUP(A99,[1]!TOX,4,FALSE))=0,0,('[1]Target Risk'!$D$8*(VLOOKUP(A99,[1]!TOX,4,FALSE))/('GW-1 Exp'!$J$18*(VLOOKUP(A99,[1]!TOX,31,FALSE)))))</f>
        <v>0</v>
      </c>
      <c r="E99" s="812">
        <f t="shared" si="18"/>
        <v>0</v>
      </c>
      <c r="F99" s="812">
        <f t="shared" si="19"/>
        <v>0</v>
      </c>
      <c r="G99" s="813">
        <f t="shared" ref="G99:G105" si="26">IF(AND(D99=0,E99=0),F99,IF(AND(E99=0,F99=0),D99,IF(AND(D99=0,F99=0),E99,IF(E99=0,1/((1/D99)+(1/F99)),IF(D99=0,1/((1/E99)+(1/F99)),IF(F99=0,1/((1/D99)+(1/E99)),1/((1/D99)+(1/E99)+(1/F99))))))))</f>
        <v>0</v>
      </c>
      <c r="H99" s="814">
        <f>IF(ISERR(1/(VLOOKUP(A99,[1]!TOX,12,FALSE))),0,'[1]Target Risk'!$D$12/('GW-1 Exp'!$J$26*(VLOOKUP(A99,[1]!TOX,33,FALSE))*(VLOOKUP(A99,[1]!TOX,12,FALSE))))</f>
        <v>0</v>
      </c>
      <c r="I99" s="812">
        <f>IF(ISERR(1/(VLOOKUP(A99,[1]!TOX,12,FALSE))),0,IF(VLOOKUP(A99,[1]!TOX,36,FALSE)="M",'[1]Target Risk'!$D$12/(((('GW-1 Exp'!$J$33*(VLOOKUP(A99,[1]!TOX,33,FALSE))*(VLOOKUP(A99,[1]!TOX,12,FALSE))))*10)+((('GW-1 Exp'!$J$34*(VLOOKUP(A99,[1]!TOX,33,FALSE))*(VLOOKUP(A99,[1]!TOX,12,FALSE))))*3)+((('GW-1 Exp'!$J$35*(VLOOKUP(A99,[1]!TOX,33,FALSE))*(VLOOKUP(A99,[1]!TOX,12,FALSE))))*3)+((('GW-1 Exp'!$J$36*(VLOOKUP(A99,[1]!TOX,33,FALSE))*(VLOOKUP(A99,[1]!TOX,12,FALSE))))*1)),'[1]Target Risk'!$D$12/('GW-1 Exp'!$J$26*(VLOOKUP(A99,[1]!TOX,33,FALSE))*(VLOOKUP(A99,[1]!TOX,12,FALSE)))))</f>
        <v>0</v>
      </c>
      <c r="J99" s="812">
        <f t="shared" si="20"/>
        <v>0</v>
      </c>
      <c r="K99" s="812">
        <f t="shared" si="21"/>
        <v>0</v>
      </c>
      <c r="L99" s="815">
        <f t="shared" ref="L99:L129" si="27">IF(AND(I99=0,J99=0),K99,IF(AND(J99=0,K99=0),I99,IF(AND(I99=0,K99=0),J99,IF(J99=0,1/((1/I99)+(1/K99)),IF(I99=0,1/((1/J99)+(1/K99)),IF(K99=0,1/((1/I99)+(1/J99)),1/((1/I99)+(1/J99)+(1/K99))))))))</f>
        <v>0</v>
      </c>
      <c r="M99" s="816">
        <f>IF(B99&lt;&gt;0,B99,IF((VLOOKUP(A99,[1]!TOX,44,FALSE))=0,O99,MIN(O99,(VLOOKUP(A99,[1]!TOX,44,FALSE)))))</f>
        <v>200</v>
      </c>
      <c r="N99" s="817" t="str">
        <f t="shared" ref="N99:N129" si="28">IF(M99=0,"Not Calculated",IF(M99=B99,C99,IF(M99=G99,"Noncancer",IF(M99=L99,"Cancer","Odor"))))</f>
        <v>ORSGL</v>
      </c>
      <c r="O99" s="818">
        <f t="shared" si="24"/>
        <v>0</v>
      </c>
      <c r="P99" s="582">
        <f>IF($B99&lt;&gt;0,$B99,MIN(M99,(VLOOKUP(A99,[1]!TOX,79,FALSE))))</f>
        <v>200</v>
      </c>
      <c r="Q99" s="819">
        <f>IF($B99&lt;&gt;0,$B99,MAX($P99,(VLOOKUP(A99,[1]!TOX,40,FALSE)),(VLOOKUP(A99,[1]!TOX,51,FALSE))))</f>
        <v>200</v>
      </c>
      <c r="R99" s="820">
        <f t="shared" ref="R99:R109" si="29">IF(ISNUMBER(B99),Q99,ROUND(Q99,-INT(LOG10(ABS(Q99)))))</f>
        <v>200</v>
      </c>
      <c r="S99" s="821" t="str">
        <f>IF(Q99=M99,N99,IF(Q99=(VLOOKUP(A99,[1]!TOX,40,FALSE)),"Bckgrnd",IF(Q99=(VLOOKUP(A99,[1]!TOX,79,FALSE)),"Ceiling","PQL")))</f>
        <v>ORSGL</v>
      </c>
    </row>
    <row r="100" spans="1:19" s="94" customFormat="1" ht="20" x14ac:dyDescent="0.25">
      <c r="A100" s="795" t="s">
        <v>1051</v>
      </c>
      <c r="B100" s="822">
        <v>300</v>
      </c>
      <c r="C100" s="823" t="s">
        <v>342</v>
      </c>
      <c r="D100" s="812">
        <f>IF((VLOOKUP(A100,[1]!TOX,4,FALSE))=0,0,('[1]Target Risk'!$D$8*(VLOOKUP(A100,[1]!TOX,4,FALSE))/('GW-1 Exp'!$J$18*(VLOOKUP(A100,[1]!TOX,31,FALSE)))))</f>
        <v>129.75549450549451</v>
      </c>
      <c r="E100" s="812">
        <f t="shared" si="18"/>
        <v>94.381791019786874</v>
      </c>
      <c r="F100" s="812">
        <f t="shared" si="19"/>
        <v>79.405077403181707</v>
      </c>
      <c r="G100" s="813">
        <f t="shared" si="26"/>
        <v>32.366942815211218</v>
      </c>
      <c r="H100" s="814">
        <f>IF(ISERR(1/(VLOOKUP(A100,[1]!TOX,12,FALSE))),0,'[1]Target Risk'!$D$12/('GW-1 Exp'!$J$26*(VLOOKUP(A100,[1]!TOX,33,FALSE))*(VLOOKUP(A100,[1]!TOX,12,FALSE))))</f>
        <v>0</v>
      </c>
      <c r="I100" s="812">
        <f>IF(ISERR(1/(VLOOKUP(A100,[1]!TOX,12,FALSE))),0,IF(VLOOKUP(A100,[1]!TOX,36,FALSE)="M",'[1]Target Risk'!$D$12/(((('GW-1 Exp'!$J$33*(VLOOKUP(A100,[1]!TOX,33,FALSE))*(VLOOKUP(A100,[1]!TOX,12,FALSE))))*10)+((('GW-1 Exp'!$J$34*(VLOOKUP(A100,[1]!TOX,33,FALSE))*(VLOOKUP(A100,[1]!TOX,12,FALSE))))*3)+((('GW-1 Exp'!$J$35*(VLOOKUP(A100,[1]!TOX,33,FALSE))*(VLOOKUP(A100,[1]!TOX,12,FALSE))))*3)+((('GW-1 Exp'!$J$36*(VLOOKUP(A100,[1]!TOX,33,FALSE))*(VLOOKUP(A100,[1]!TOX,12,FALSE))))*1)),'[1]Target Risk'!$D$12/('GW-1 Exp'!$J$26*(VLOOKUP(A100,[1]!TOX,33,FALSE))*(VLOOKUP(A100,[1]!TOX,12,FALSE)))))</f>
        <v>0</v>
      </c>
      <c r="J100" s="812">
        <f t="shared" si="20"/>
        <v>0</v>
      </c>
      <c r="K100" s="812">
        <f t="shared" si="21"/>
        <v>0</v>
      </c>
      <c r="L100" s="815">
        <f t="shared" si="27"/>
        <v>0</v>
      </c>
      <c r="M100" s="816">
        <f>IF(B100&lt;&gt;0,B100,IF((VLOOKUP(A100,[1]!TOX,44,FALSE))=0,O100,MIN(O100,(VLOOKUP(A100,[1]!TOX,44,FALSE)))))</f>
        <v>300</v>
      </c>
      <c r="N100" s="817" t="str">
        <f t="shared" si="28"/>
        <v>ORSGL</v>
      </c>
      <c r="O100" s="818">
        <f t="shared" ref="O100:O129" si="30">IF(MIN(G100,L100)&lt;&gt;0,MIN(G100,L100),MAX(G100,L100))</f>
        <v>32.366942815211218</v>
      </c>
      <c r="P100" s="582">
        <f>IF($B100&lt;&gt;0,$B100,MIN(M100,(VLOOKUP(A100,[1]!TOX,79,FALSE))))</f>
        <v>300</v>
      </c>
      <c r="Q100" s="819">
        <f>IF($B100&lt;&gt;0,$B100,MAX($P100,(VLOOKUP(A100,[1]!TOX,40,FALSE)),(VLOOKUP(A100,[1]!TOX,51,FALSE))))</f>
        <v>300</v>
      </c>
      <c r="R100" s="820">
        <f t="shared" si="29"/>
        <v>300</v>
      </c>
      <c r="S100" s="821" t="str">
        <f>IF(Q100=M100,N100,IF(Q100=(VLOOKUP(A100,[1]!TOX,40,FALSE)),"Bckgrnd",IF(Q100=(VLOOKUP(A100,[1]!TOX,79,FALSE)),"Ceiling","PQL")))</f>
        <v>ORSGL</v>
      </c>
    </row>
    <row r="101" spans="1:19" s="94" customFormat="1" ht="20" x14ac:dyDescent="0.25">
      <c r="A101" s="796" t="s">
        <v>1052</v>
      </c>
      <c r="B101" s="822">
        <v>700</v>
      </c>
      <c r="C101" s="823" t="s">
        <v>342</v>
      </c>
      <c r="D101" s="812">
        <f>IF((VLOOKUP(A101,[1]!TOX,4,FALSE))=0,0,('[1]Target Risk'!$D$8*(VLOOKUP(A101,[1]!TOX,4,FALSE))/('GW-1 Exp'!$J$18*(VLOOKUP(A101,[1]!TOX,31,FALSE)))))</f>
        <v>324.38873626373635</v>
      </c>
      <c r="E101" s="812">
        <f t="shared" si="18"/>
        <v>324.38873626373635</v>
      </c>
      <c r="F101" s="812">
        <f t="shared" si="19"/>
        <v>94.743298287776042</v>
      </c>
      <c r="G101" s="813">
        <f t="shared" si="26"/>
        <v>59.807616433384361</v>
      </c>
      <c r="H101" s="814">
        <f>IF(ISERR(1/(VLOOKUP(A101,[1]!TOX,12,FALSE))),0,'[1]Target Risk'!$D$12/('GW-1 Exp'!$J$26*(VLOOKUP(A101,[1]!TOX,33,FALSE))*(VLOOKUP(A101,[1]!TOX,12,FALSE))))</f>
        <v>0</v>
      </c>
      <c r="I101" s="812">
        <f>IF(ISERR(1/(VLOOKUP(A101,[1]!TOX,12,FALSE))),0,IF(VLOOKUP(A101,[1]!TOX,36,FALSE)="M",'[1]Target Risk'!$D$12/(((('GW-1 Exp'!$J$33*(VLOOKUP(A101,[1]!TOX,33,FALSE))*(VLOOKUP(A101,[1]!TOX,12,FALSE))))*10)+((('GW-1 Exp'!$J$34*(VLOOKUP(A101,[1]!TOX,33,FALSE))*(VLOOKUP(A101,[1]!TOX,12,FALSE))))*3)+((('GW-1 Exp'!$J$35*(VLOOKUP(A101,[1]!TOX,33,FALSE))*(VLOOKUP(A101,[1]!TOX,12,FALSE))))*3)+((('GW-1 Exp'!$J$36*(VLOOKUP(A101,[1]!TOX,33,FALSE))*(VLOOKUP(A101,[1]!TOX,12,FALSE))))*1)),'[1]Target Risk'!$D$12/('GW-1 Exp'!$J$26*(VLOOKUP(A101,[1]!TOX,33,FALSE))*(VLOOKUP(A101,[1]!TOX,12,FALSE)))))</f>
        <v>0</v>
      </c>
      <c r="J101" s="812">
        <f t="shared" si="20"/>
        <v>0</v>
      </c>
      <c r="K101" s="812">
        <f t="shared" si="21"/>
        <v>0</v>
      </c>
      <c r="L101" s="815">
        <f t="shared" si="27"/>
        <v>0</v>
      </c>
      <c r="M101" s="816">
        <f>IF(B101&lt;&gt;0,B101,IF((VLOOKUP(A101,[1]!TOX,44,FALSE))=0,O101,MIN(O101,(VLOOKUP(A101,[1]!TOX,44,FALSE)))))</f>
        <v>700</v>
      </c>
      <c r="N101" s="817" t="str">
        <f t="shared" si="28"/>
        <v>ORSGL</v>
      </c>
      <c r="O101" s="818">
        <f t="shared" si="30"/>
        <v>59.807616433384361</v>
      </c>
      <c r="P101" s="582">
        <f>IF($B101&lt;&gt;0,$B101,MIN(M101,(VLOOKUP(A101,[1]!TOX,79,FALSE))))</f>
        <v>700</v>
      </c>
      <c r="Q101" s="819">
        <f>IF($B101&lt;&gt;0,$B101,MAX($P101,(VLOOKUP(A101,[1]!TOX,40,FALSE)),(VLOOKUP(A101,[1]!TOX,51,FALSE))))</f>
        <v>700</v>
      </c>
      <c r="R101" s="820">
        <f t="shared" si="29"/>
        <v>700</v>
      </c>
      <c r="S101" s="821" t="str">
        <f>IF(Q101=M101,N101,IF(Q101=(VLOOKUP(A101,[1]!TOX,40,FALSE)),"Bckgrnd",IF(Q101=(VLOOKUP(A101,[1]!TOX,79,FALSE)),"Ceiling","PQL")))</f>
        <v>ORSGL</v>
      </c>
    </row>
    <row r="102" spans="1:19" s="94" customFormat="1" ht="20" x14ac:dyDescent="0.25">
      <c r="A102" s="619" t="s">
        <v>1053</v>
      </c>
      <c r="B102" s="822">
        <v>700</v>
      </c>
      <c r="C102" s="823" t="s">
        <v>342</v>
      </c>
      <c r="D102" s="812">
        <f>IF((VLOOKUP(A102,[1]!TOX,4,FALSE))=0,0,('[1]Target Risk'!$D$8*(VLOOKUP(A102,[1]!TOX,4,FALSE))/('GW-1 Exp'!$J$18*(VLOOKUP(A102,[1]!TOX,31,FALSE)))))</f>
        <v>324.38873626373635</v>
      </c>
      <c r="E102" s="812">
        <f t="shared" si="18"/>
        <v>324.38873626373635</v>
      </c>
      <c r="F102" s="812">
        <f t="shared" si="19"/>
        <v>99.754210038144237</v>
      </c>
      <c r="G102" s="813">
        <f t="shared" si="26"/>
        <v>61.766210676392532</v>
      </c>
      <c r="H102" s="814">
        <f>IF(ISERR(1/(VLOOKUP(A102,[1]!TOX,12,FALSE))),0,'[1]Target Risk'!$D$12/('GW-1 Exp'!$J$26*(VLOOKUP(A102,[1]!TOX,33,FALSE))*(VLOOKUP(A102,[1]!TOX,12,FALSE))))</f>
        <v>0</v>
      </c>
      <c r="I102" s="812">
        <f>IF(ISERR(1/(VLOOKUP(A102,[1]!TOX,12,FALSE))),0,IF(VLOOKUP(A102,[1]!TOX,36,FALSE)="M",'[1]Target Risk'!$D$12/(((('GW-1 Exp'!$J$33*(VLOOKUP(A102,[1]!TOX,33,FALSE))*(VLOOKUP(A102,[1]!TOX,12,FALSE))))*10)+((('GW-1 Exp'!$J$34*(VLOOKUP(A102,[1]!TOX,33,FALSE))*(VLOOKUP(A102,[1]!TOX,12,FALSE))))*3)+((('GW-1 Exp'!$J$35*(VLOOKUP(A102,[1]!TOX,33,FALSE))*(VLOOKUP(A102,[1]!TOX,12,FALSE))))*3)+((('GW-1 Exp'!$J$36*(VLOOKUP(A102,[1]!TOX,33,FALSE))*(VLOOKUP(A102,[1]!TOX,12,FALSE))))*1)),'[1]Target Risk'!$D$12/('GW-1 Exp'!$J$26*(VLOOKUP(A102,[1]!TOX,33,FALSE))*(VLOOKUP(A102,[1]!TOX,12,FALSE)))))</f>
        <v>0</v>
      </c>
      <c r="J102" s="812">
        <f t="shared" si="20"/>
        <v>0</v>
      </c>
      <c r="K102" s="812">
        <f t="shared" si="21"/>
        <v>0</v>
      </c>
      <c r="L102" s="815">
        <f t="shared" si="27"/>
        <v>0</v>
      </c>
      <c r="M102" s="816">
        <f>IF(B102&lt;&gt;0,B102,IF((VLOOKUP(A102,[1]!TOX,44,FALSE))=0,O102,MIN(O102,(VLOOKUP(A102,[1]!TOX,44,FALSE)))))</f>
        <v>700</v>
      </c>
      <c r="N102" s="817" t="str">
        <f t="shared" si="28"/>
        <v>ORSGL</v>
      </c>
      <c r="O102" s="818">
        <f t="shared" si="30"/>
        <v>61.766210676392532</v>
      </c>
      <c r="P102" s="582">
        <f>IF($B102&lt;&gt;0,$B102,MIN(M102,(VLOOKUP(A102,[1]!TOX,79,FALSE))))</f>
        <v>700</v>
      </c>
      <c r="Q102" s="819">
        <f>IF($B102&lt;&gt;0,$B102,MAX($P102,(VLOOKUP(A102,[1]!TOX,40,FALSE)),(VLOOKUP(A102,[1]!TOX,51,FALSE))))</f>
        <v>700</v>
      </c>
      <c r="R102" s="820">
        <f t="shared" si="29"/>
        <v>700</v>
      </c>
      <c r="S102" s="821" t="str">
        <f>IF(Q102=M102,N102,IF(Q102=(VLOOKUP(A102,[1]!TOX,40,FALSE)),"Bckgrnd",IF(Q102=(VLOOKUP(A102,[1]!TOX,79,FALSE)),"Ceiling","PQL")))</f>
        <v>ORSGL</v>
      </c>
    </row>
    <row r="103" spans="1:19" s="94" customFormat="1" ht="20" x14ac:dyDescent="0.25">
      <c r="A103" s="619" t="s">
        <v>1054</v>
      </c>
      <c r="B103" s="822">
        <v>14000</v>
      </c>
      <c r="C103" s="823" t="s">
        <v>342</v>
      </c>
      <c r="D103" s="812">
        <f>IF((VLOOKUP(A103,[1]!TOX,4,FALSE))=0,0,('[1]Target Risk'!$D$8*(VLOOKUP(A103,[1]!TOX,4,FALSE))/('GW-1 Exp'!$J$18*(VLOOKUP(A103,[1]!TOX,31,FALSE)))))</f>
        <v>6487.7747252747267</v>
      </c>
      <c r="E103" s="812">
        <f t="shared" si="18"/>
        <v>0</v>
      </c>
      <c r="F103" s="812">
        <f t="shared" si="19"/>
        <v>0</v>
      </c>
      <c r="G103" s="813">
        <f t="shared" si="26"/>
        <v>6487.7747252747267</v>
      </c>
      <c r="H103" s="814">
        <f>IF(ISERR(1/(VLOOKUP(A103,[1]!TOX,12,FALSE))),0,'[1]Target Risk'!$D$12/('GW-1 Exp'!$J$26*(VLOOKUP(A103,[1]!TOX,33,FALSE))*(VLOOKUP(A103,[1]!TOX,12,FALSE))))</f>
        <v>0</v>
      </c>
      <c r="I103" s="812">
        <f>IF(ISERR(1/(VLOOKUP(A103,[1]!TOX,12,FALSE))),0,IF(VLOOKUP(A103,[1]!TOX,36,FALSE)="M",'[1]Target Risk'!$D$12/(((('GW-1 Exp'!$J$33*(VLOOKUP(A103,[1]!TOX,33,FALSE))*(VLOOKUP(A103,[1]!TOX,12,FALSE))))*10)+((('GW-1 Exp'!$J$34*(VLOOKUP(A103,[1]!TOX,33,FALSE))*(VLOOKUP(A103,[1]!TOX,12,FALSE))))*3)+((('GW-1 Exp'!$J$35*(VLOOKUP(A103,[1]!TOX,33,FALSE))*(VLOOKUP(A103,[1]!TOX,12,FALSE))))*3)+((('GW-1 Exp'!$J$36*(VLOOKUP(A103,[1]!TOX,33,FALSE))*(VLOOKUP(A103,[1]!TOX,12,FALSE))))*1)),'[1]Target Risk'!$D$12/('GW-1 Exp'!$J$26*(VLOOKUP(A103,[1]!TOX,33,FALSE))*(VLOOKUP(A103,[1]!TOX,12,FALSE)))))</f>
        <v>0</v>
      </c>
      <c r="J103" s="812">
        <f t="shared" si="20"/>
        <v>0</v>
      </c>
      <c r="K103" s="812">
        <f t="shared" si="21"/>
        <v>0</v>
      </c>
      <c r="L103" s="815">
        <f t="shared" si="27"/>
        <v>0</v>
      </c>
      <c r="M103" s="816">
        <f>IF(B103&lt;&gt;0,B103,IF((VLOOKUP(A103,[1]!TOX,44,FALSE))=0,O103,MIN(O103,(VLOOKUP(A103,[1]!TOX,44,FALSE)))))</f>
        <v>14000</v>
      </c>
      <c r="N103" s="817" t="str">
        <f t="shared" si="28"/>
        <v>ORSGL</v>
      </c>
      <c r="O103" s="818">
        <f t="shared" si="30"/>
        <v>6487.7747252747267</v>
      </c>
      <c r="P103" s="582">
        <f>IF($B103&lt;&gt;0,$B103,MIN(M103,(VLOOKUP(A103,[1]!TOX,79,FALSE))))</f>
        <v>14000</v>
      </c>
      <c r="Q103" s="819">
        <f>IF($B103&lt;&gt;0,$B103,MAX($P103,(VLOOKUP(A103,[1]!TOX,40,FALSE)),(VLOOKUP(A103,[1]!TOX,51,FALSE))))</f>
        <v>14000</v>
      </c>
      <c r="R103" s="820">
        <f t="shared" si="29"/>
        <v>14000</v>
      </c>
      <c r="S103" s="821" t="str">
        <f>IF(Q103=M103,N103,IF(Q103=(VLOOKUP(A103,[1]!TOX,40,FALSE)),"Bckgrnd",IF(Q103=(VLOOKUP(A103,[1]!TOX,79,FALSE)),"Ceiling","PQL")))</f>
        <v>ORSGL</v>
      </c>
    </row>
    <row r="104" spans="1:19" s="94" customFormat="1" ht="20" x14ac:dyDescent="0.25">
      <c r="A104" s="795" t="s">
        <v>1055</v>
      </c>
      <c r="B104" s="822">
        <v>200</v>
      </c>
      <c r="C104" s="823" t="s">
        <v>342</v>
      </c>
      <c r="D104" s="812">
        <f>IF((VLOOKUP(A104,[1]!TOX,4,FALSE))=0,0,('[1]Target Risk'!$D$8*(VLOOKUP(A104,[1]!TOX,4,FALSE))/('GW-1 Exp'!$J$18*(VLOOKUP(A104,[1]!TOX,31,FALSE)))))</f>
        <v>97.31662087912089</v>
      </c>
      <c r="E104" s="812">
        <f t="shared" si="18"/>
        <v>74.601829457976649</v>
      </c>
      <c r="F104" s="812">
        <f t="shared" si="19"/>
        <v>22.322812665568822</v>
      </c>
      <c r="G104" s="813">
        <f t="shared" si="26"/>
        <v>14.60334619637354</v>
      </c>
      <c r="H104" s="814">
        <f>IF(ISERR(1/(VLOOKUP(A104,[1]!TOX,12,FALSE))),0,'[1]Target Risk'!$D$12/('GW-1 Exp'!$J$26*(VLOOKUP(A104,[1]!TOX,33,FALSE))*(VLOOKUP(A104,[1]!TOX,12,FALSE))))</f>
        <v>0</v>
      </c>
      <c r="I104" s="812">
        <f>IF(ISERR(1/(VLOOKUP(A104,[1]!TOX,12,FALSE))),0,IF(VLOOKUP(A104,[1]!TOX,36,FALSE)="M",'[1]Target Risk'!$D$12/(((('GW-1 Exp'!$J$33*(VLOOKUP(A104,[1]!TOX,33,FALSE))*(VLOOKUP(A104,[1]!TOX,12,FALSE))))*10)+((('GW-1 Exp'!$J$34*(VLOOKUP(A104,[1]!TOX,33,FALSE))*(VLOOKUP(A104,[1]!TOX,12,FALSE))))*3)+((('GW-1 Exp'!$J$35*(VLOOKUP(A104,[1]!TOX,33,FALSE))*(VLOOKUP(A104,[1]!TOX,12,FALSE))))*3)+((('GW-1 Exp'!$J$36*(VLOOKUP(A104,[1]!TOX,33,FALSE))*(VLOOKUP(A104,[1]!TOX,12,FALSE))))*1)),'[1]Target Risk'!$D$12/('GW-1 Exp'!$J$26*(VLOOKUP(A104,[1]!TOX,33,FALSE))*(VLOOKUP(A104,[1]!TOX,12,FALSE)))))</f>
        <v>0</v>
      </c>
      <c r="J104" s="812">
        <f t="shared" si="20"/>
        <v>0</v>
      </c>
      <c r="K104" s="812">
        <f t="shared" si="21"/>
        <v>0</v>
      </c>
      <c r="L104" s="815">
        <f t="shared" si="27"/>
        <v>0</v>
      </c>
      <c r="M104" s="816">
        <f>IF(B104&lt;&gt;0,B104,IF((VLOOKUP(A104,[1]!TOX,44,FALSE))=0,O104,MIN(O104,(VLOOKUP(A104,[1]!TOX,44,FALSE)))))</f>
        <v>200</v>
      </c>
      <c r="N104" s="817" t="str">
        <f t="shared" si="28"/>
        <v>ORSGL</v>
      </c>
      <c r="O104" s="818">
        <f t="shared" si="30"/>
        <v>14.60334619637354</v>
      </c>
      <c r="P104" s="582">
        <f>IF($B104&lt;&gt;0,$B104,MIN(M104,(VLOOKUP(A104,[1]!TOX,79,FALSE))))</f>
        <v>200</v>
      </c>
      <c r="Q104" s="819">
        <f>IF($B104&lt;&gt;0,$B104,MAX($P104,(VLOOKUP(A104,[1]!TOX,40,FALSE)),(VLOOKUP(A104,[1]!TOX,51,FALSE))))</f>
        <v>200</v>
      </c>
      <c r="R104" s="820">
        <f t="shared" si="29"/>
        <v>200</v>
      </c>
      <c r="S104" s="821" t="str">
        <f>IF(Q104=M104,N104,IF(Q104=(VLOOKUP(A104,[1]!TOX,40,FALSE)),"Bckgrnd",IF(Q104=(VLOOKUP(A104,[1]!TOX,79,FALSE)),"Ceiling","PQL")))</f>
        <v>ORSGL</v>
      </c>
    </row>
    <row r="105" spans="1:19" s="94" customFormat="1" ht="20" x14ac:dyDescent="0.25">
      <c r="A105" s="619" t="s">
        <v>1056</v>
      </c>
      <c r="B105" s="822">
        <v>200</v>
      </c>
      <c r="C105" s="823" t="s">
        <v>342</v>
      </c>
      <c r="D105" s="812">
        <f>IF((VLOOKUP(A105,[1]!TOX,4,FALSE))=0,0,('[1]Target Risk'!$D$8*(VLOOKUP(A105,[1]!TOX,4,FALSE))/('GW-1 Exp'!$J$18*(VLOOKUP(A105,[1]!TOX,31,FALSE)))))</f>
        <v>97.31662087912089</v>
      </c>
      <c r="E105" s="812">
        <f t="shared" si="18"/>
        <v>89.531291208791231</v>
      </c>
      <c r="F105" s="812">
        <f t="shared" ref="F105:F129" si="31">(VLOOKUP(A105,DWInhale,13,FALSE))</f>
        <v>30.184876913328146</v>
      </c>
      <c r="G105" s="813">
        <f t="shared" si="26"/>
        <v>18.323680448621531</v>
      </c>
      <c r="H105" s="814">
        <f>IF(ISERR(1/(VLOOKUP(A105,[1]!TOX,12,FALSE))),0,'[1]Target Risk'!$D$12/('GW-1 Exp'!$J$26*(VLOOKUP(A105,[1]!TOX,33,FALSE))*(VLOOKUP(A105,[1]!TOX,12,FALSE))))</f>
        <v>0</v>
      </c>
      <c r="I105" s="812">
        <f>IF(ISERR(1/(VLOOKUP(A105,[1]!TOX,12,FALSE))),0,IF(VLOOKUP(A105,[1]!TOX,36,FALSE)="M",'[1]Target Risk'!$D$12/(((('GW-1 Exp'!$J$33*(VLOOKUP(A105,[1]!TOX,33,FALSE))*(VLOOKUP(A105,[1]!TOX,12,FALSE))))*10)+((('GW-1 Exp'!$J$34*(VLOOKUP(A105,[1]!TOX,33,FALSE))*(VLOOKUP(A105,[1]!TOX,12,FALSE))))*3)+((('GW-1 Exp'!$J$35*(VLOOKUP(A105,[1]!TOX,33,FALSE))*(VLOOKUP(A105,[1]!TOX,12,FALSE))))*3)+((('GW-1 Exp'!$J$36*(VLOOKUP(A105,[1]!TOX,33,FALSE))*(VLOOKUP(A105,[1]!TOX,12,FALSE))))*1)),'[1]Target Risk'!$D$12/('GW-1 Exp'!$J$26*(VLOOKUP(A105,[1]!TOX,33,FALSE))*(VLOOKUP(A105,[1]!TOX,12,FALSE)))))</f>
        <v>0</v>
      </c>
      <c r="J105" s="812">
        <f t="shared" ref="J105:J129" si="32">(VLOOKUP(A105,DWDERM,20,FALSE))</f>
        <v>0</v>
      </c>
      <c r="K105" s="812">
        <f t="shared" ref="K105:K129" si="33">(VLOOKUP(A105,DWInhale,14,FALSE))</f>
        <v>0</v>
      </c>
      <c r="L105" s="815">
        <f t="shared" si="27"/>
        <v>0</v>
      </c>
      <c r="M105" s="816">
        <f>IF(B105&lt;&gt;0,B105,IF((VLOOKUP(A105,[1]!TOX,44,FALSE))=0,O105,MIN(O105,(VLOOKUP(A105,[1]!TOX,44,FALSE)))))</f>
        <v>200</v>
      </c>
      <c r="N105" s="817" t="str">
        <f t="shared" si="28"/>
        <v>ORSGL</v>
      </c>
      <c r="O105" s="818">
        <f t="shared" si="30"/>
        <v>18.323680448621531</v>
      </c>
      <c r="P105" s="582">
        <f>IF($B105&lt;&gt;0,$B105,MIN(M105,(VLOOKUP(A105,[1]!TOX,79,FALSE))))</f>
        <v>200</v>
      </c>
      <c r="Q105" s="819">
        <f>IF($B105&lt;&gt;0,$B105,MAX($P105,(VLOOKUP(A105,[1]!TOX,40,FALSE)),(VLOOKUP(A105,[1]!TOX,51,FALSE))))</f>
        <v>200</v>
      </c>
      <c r="R105" s="820">
        <f t="shared" si="29"/>
        <v>200</v>
      </c>
      <c r="S105" s="821" t="str">
        <f>IF(Q105=M105,N105,IF(Q105=(VLOOKUP(A105,[1]!TOX,40,FALSE)),"Bckgrnd",IF(Q105=(VLOOKUP(A105,[1]!TOX,79,FALSE)),"Ceiling","PQL")))</f>
        <v>ORSGL</v>
      </c>
    </row>
    <row r="106" spans="1:19" s="94" customFormat="1" ht="10" x14ac:dyDescent="0.25">
      <c r="A106" s="619" t="s">
        <v>239</v>
      </c>
      <c r="B106" s="822"/>
      <c r="C106" s="823"/>
      <c r="D106" s="812">
        <f>IF((VLOOKUP(A106,[1]!TOX,4,FALSE))=0,0,('[1]Target Risk'!$D$8*(VLOOKUP(A106,[1]!TOX,4,FALSE))/('GW-1 Exp'!$J$18*(VLOOKUP(A106,[1]!TOX,31,FALSE)))))</f>
        <v>97.31662087912089</v>
      </c>
      <c r="E106" s="812">
        <f t="shared" si="18"/>
        <v>447.6564560439561</v>
      </c>
      <c r="F106" s="812">
        <f t="shared" si="31"/>
        <v>146.28746020153974</v>
      </c>
      <c r="G106" s="813">
        <f t="shared" si="17"/>
        <v>51.691744781527895</v>
      </c>
      <c r="H106" s="814">
        <f>IF(ISERR(1/(VLOOKUP(A106,[1]!TOX,12,FALSE))),0,'[1]Target Risk'!$D$12/('GW-1 Exp'!$J$26*(VLOOKUP(A106,[1]!TOX,33,FALSE))*(VLOOKUP(A106,[1]!TOX,12,FALSE))))</f>
        <v>0</v>
      </c>
      <c r="I106" s="812">
        <f>IF(ISERR(1/(VLOOKUP(A106,[1]!TOX,12,FALSE))),0,IF(VLOOKUP(A106,[1]!TOX,36,FALSE)="M",'[1]Target Risk'!$D$12/(((('GW-1 Exp'!$J$33*(VLOOKUP(A106,[1]!TOX,33,FALSE))*(VLOOKUP(A106,[1]!TOX,12,FALSE))))*10)+((('GW-1 Exp'!$J$34*(VLOOKUP(A106,[1]!TOX,33,FALSE))*(VLOOKUP(A106,[1]!TOX,12,FALSE))))*3)+((('GW-1 Exp'!$J$35*(VLOOKUP(A106,[1]!TOX,33,FALSE))*(VLOOKUP(A106,[1]!TOX,12,FALSE))))*3)+((('GW-1 Exp'!$J$36*(VLOOKUP(A106,[1]!TOX,33,FALSE))*(VLOOKUP(A106,[1]!TOX,12,FALSE))))*1)),'[1]Target Risk'!$D$12/('GW-1 Exp'!$J$26*(VLOOKUP(A106,[1]!TOX,33,FALSE))*(VLOOKUP(A106,[1]!TOX,12,FALSE)))))</f>
        <v>0</v>
      </c>
      <c r="J106" s="812">
        <f t="shared" si="32"/>
        <v>0</v>
      </c>
      <c r="K106" s="812">
        <f t="shared" si="33"/>
        <v>0</v>
      </c>
      <c r="L106" s="815">
        <f t="shared" si="27"/>
        <v>0</v>
      </c>
      <c r="M106" s="816">
        <f>IF(B106&lt;&gt;0,B106,IF((VLOOKUP(A106,[1]!TOX,44,FALSE))=0,O106,MIN(O106,(VLOOKUP(A106,[1]!TOX,44,FALSE)))))</f>
        <v>51.691744781527895</v>
      </c>
      <c r="N106" s="817" t="str">
        <f t="shared" si="28"/>
        <v>Noncancer</v>
      </c>
      <c r="O106" s="818">
        <f t="shared" si="30"/>
        <v>51.691744781527895</v>
      </c>
      <c r="P106" s="582">
        <f>IF($B106&lt;&gt;0,$B106,MIN(M106,(VLOOKUP(A106,[1]!TOX,79,FALSE))))</f>
        <v>51.691744781527895</v>
      </c>
      <c r="Q106" s="819">
        <f>IF($B106&lt;&gt;0,$B106,MAX($P106,(VLOOKUP(A106,[1]!TOX,40,FALSE)),(VLOOKUP(A106,[1]!TOX,51,FALSE))))</f>
        <v>51.691744781527895</v>
      </c>
      <c r="R106" s="820">
        <f t="shared" si="29"/>
        <v>50</v>
      </c>
      <c r="S106" s="821" t="str">
        <f>IF(Q106=M106,N106,IF(Q106=(VLOOKUP(A106,[1]!TOX,40,FALSE)),"Bckgrnd",IF(Q106=(VLOOKUP(A106,[1]!TOX,79,FALSE)),"Ceiling","PQL")))</f>
        <v>Noncancer</v>
      </c>
    </row>
    <row r="107" spans="1:19" s="94" customFormat="1" ht="10" x14ac:dyDescent="0.25">
      <c r="A107" s="619" t="s">
        <v>240</v>
      </c>
      <c r="B107" s="822"/>
      <c r="C107" s="823"/>
      <c r="D107" s="812">
        <f>IF((VLOOKUP(A107,[1]!TOX,4,FALSE))=0,0,('[1]Target Risk'!$D$8*(VLOOKUP(A107,[1]!TOX,4,FALSE))/('GW-1 Exp'!$J$18*(VLOOKUP(A107,[1]!TOX,31,FALSE)))))</f>
        <v>973.16620879120887</v>
      </c>
      <c r="E107" s="812">
        <f t="shared" ref="E107:E129" si="34">(VLOOKUP(A107,DWDERM,18,FALSE))</f>
        <v>26924.613501743468</v>
      </c>
      <c r="F107" s="812">
        <f t="shared" si="31"/>
        <v>58272.032640271769</v>
      </c>
      <c r="G107" s="813">
        <f t="shared" si="17"/>
        <v>924.32092269190844</v>
      </c>
      <c r="H107" s="814">
        <f>IF(ISERR(1/(VLOOKUP(A107,[1]!TOX,12,FALSE))),0,'[1]Target Risk'!$D$12/('GW-1 Exp'!$J$26*(VLOOKUP(A107,[1]!TOX,33,FALSE))*(VLOOKUP(A107,[1]!TOX,12,FALSE))))</f>
        <v>0</v>
      </c>
      <c r="I107" s="812">
        <f>IF(ISERR(1/(VLOOKUP(A107,[1]!TOX,12,FALSE))),0,IF(VLOOKUP(A107,[1]!TOX,36,FALSE)="M",'[1]Target Risk'!$D$12/(((('GW-1 Exp'!$J$33*(VLOOKUP(A107,[1]!TOX,33,FALSE))*(VLOOKUP(A107,[1]!TOX,12,FALSE))))*10)+((('GW-1 Exp'!$J$34*(VLOOKUP(A107,[1]!TOX,33,FALSE))*(VLOOKUP(A107,[1]!TOX,12,FALSE))))*3)+((('GW-1 Exp'!$J$35*(VLOOKUP(A107,[1]!TOX,33,FALSE))*(VLOOKUP(A107,[1]!TOX,12,FALSE))))*3)+((('GW-1 Exp'!$J$36*(VLOOKUP(A107,[1]!TOX,33,FALSE))*(VLOOKUP(A107,[1]!TOX,12,FALSE))))*1)),'[1]Target Risk'!$D$12/('GW-1 Exp'!$J$26*(VLOOKUP(A107,[1]!TOX,33,FALSE))*(VLOOKUP(A107,[1]!TOX,12,FALSE)))))</f>
        <v>0</v>
      </c>
      <c r="J107" s="812">
        <f t="shared" si="32"/>
        <v>0</v>
      </c>
      <c r="K107" s="812">
        <f t="shared" si="33"/>
        <v>0</v>
      </c>
      <c r="L107" s="815">
        <f t="shared" si="27"/>
        <v>0</v>
      </c>
      <c r="M107" s="816">
        <f>IF(B107&lt;&gt;0,B107,IF((VLOOKUP(A107,[1]!TOX,44,FALSE))=0,O107,MIN(O107,(VLOOKUP(A107,[1]!TOX,44,FALSE)))))</f>
        <v>924.32092269190844</v>
      </c>
      <c r="N107" s="817" t="str">
        <f t="shared" si="28"/>
        <v>Noncancer</v>
      </c>
      <c r="O107" s="818">
        <f t="shared" si="30"/>
        <v>924.32092269190844</v>
      </c>
      <c r="P107" s="582">
        <f>IF($B107&lt;&gt;0,$B107,MIN(M107,(VLOOKUP(A107,[1]!TOX,79,FALSE))))</f>
        <v>924.32092269190844</v>
      </c>
      <c r="Q107" s="819">
        <f>IF($B107&lt;&gt;0,$B107,MAX($P107,(VLOOKUP(A107,[1]!TOX,40,FALSE)),(VLOOKUP(A107,[1]!TOX,51,FALSE))))</f>
        <v>924.32092269190844</v>
      </c>
      <c r="R107" s="820">
        <f t="shared" si="29"/>
        <v>900</v>
      </c>
      <c r="S107" s="821" t="str">
        <f>IF(Q107=M107,N107,IF(Q107=(VLOOKUP(A107,[1]!TOX,40,FALSE)),"Bckgrnd",IF(Q107=(VLOOKUP(A107,[1]!TOX,79,FALSE)),"Ceiling","PQL")))</f>
        <v>Noncancer</v>
      </c>
    </row>
    <row r="108" spans="1:19" s="94" customFormat="1" ht="20" x14ac:dyDescent="0.25">
      <c r="A108" s="619" t="s">
        <v>241</v>
      </c>
      <c r="B108" s="822">
        <v>0.5</v>
      </c>
      <c r="C108" s="823" t="s">
        <v>341</v>
      </c>
      <c r="D108" s="812">
        <f>IF((VLOOKUP(A108,[1]!TOX,4,FALSE))=0,0,('[1]Target Risk'!$D$8*(VLOOKUP(A108,[1]!TOX,4,FALSE))/('GW-1 Exp'!$J$18*(VLOOKUP(A108,[1]!TOX,31,FALSE)))))</f>
        <v>6.4877747252747267E-2</v>
      </c>
      <c r="E108" s="812">
        <f t="shared" si="34"/>
        <v>5.7741195054945071E-2</v>
      </c>
      <c r="F108" s="812">
        <f t="shared" si="31"/>
        <v>1.971755228660424E-2</v>
      </c>
      <c r="G108" s="813">
        <f t="shared" si="17"/>
        <v>1.1983439243174132E-2</v>
      </c>
      <c r="H108" s="814">
        <f>IF(ISERR(1/(VLOOKUP(A108,[1]!TOX,12,FALSE))),0,'[1]Target Risk'!$D$12/('GW-1 Exp'!$J$26*(VLOOKUP(A108,[1]!TOX,33,FALSE))*(VLOOKUP(A108,[1]!TOX,12,FALSE))))</f>
        <v>2.7631110222745642E-2</v>
      </c>
      <c r="I108" s="812">
        <f>IF(ISERR(1/(VLOOKUP(A108,[1]!TOX,12,FALSE))),0,IF(VLOOKUP(A108,[1]!TOX,36,FALSE)="M",'[1]Target Risk'!$D$12/(((('GW-1 Exp'!$J$33*(VLOOKUP(A108,[1]!TOX,33,FALSE))*(VLOOKUP(A108,[1]!TOX,12,FALSE))))*10)+((('GW-1 Exp'!$J$34*(VLOOKUP(A108,[1]!TOX,33,FALSE))*(VLOOKUP(A108,[1]!TOX,12,FALSE))))*3)+((('GW-1 Exp'!$J$35*(VLOOKUP(A108,[1]!TOX,33,FALSE))*(VLOOKUP(A108,[1]!TOX,12,FALSE))))*3)+((('GW-1 Exp'!$J$36*(VLOOKUP(A108,[1]!TOX,33,FALSE))*(VLOOKUP(A108,[1]!TOX,12,FALSE))))*1)),'[1]Target Risk'!$D$12/('GW-1 Exp'!$J$26*(VLOOKUP(A108,[1]!TOX,33,FALSE))*(VLOOKUP(A108,[1]!TOX,12,FALSE)))))</f>
        <v>2.7631110222745642E-2</v>
      </c>
      <c r="J108" s="812">
        <f t="shared" si="32"/>
        <v>2.4591688098243622E-2</v>
      </c>
      <c r="K108" s="812">
        <f t="shared" si="33"/>
        <v>6.7092873710940928E-2</v>
      </c>
      <c r="L108" s="815">
        <f t="shared" si="27"/>
        <v>1.089800083728871E-2</v>
      </c>
      <c r="M108" s="816">
        <f>IF(B108&lt;&gt;0,B108,IF((VLOOKUP(A108,[1]!TOX,44,FALSE))=0,O108,MIN(O108,(VLOOKUP(A108,[1]!TOX,44,FALSE)))))</f>
        <v>0.5</v>
      </c>
      <c r="N108" s="817" t="str">
        <f t="shared" si="28"/>
        <v>MMCL</v>
      </c>
      <c r="O108" s="818">
        <f t="shared" si="30"/>
        <v>1.089800083728871E-2</v>
      </c>
      <c r="P108" s="582">
        <f>IF($B108&lt;&gt;0,$B108,MIN(M108,(VLOOKUP(A108,[1]!TOX,79,FALSE))))</f>
        <v>0.5</v>
      </c>
      <c r="Q108" s="819">
        <f>IF($B108&lt;&gt;0,$B108,MAX($P108,(VLOOKUP(A108,[1]!TOX,40,FALSE)),(VLOOKUP(A108,[1]!TOX,51,FALSE))))</f>
        <v>0.5</v>
      </c>
      <c r="R108" s="820">
        <f t="shared" si="29"/>
        <v>0.5</v>
      </c>
      <c r="S108" s="821" t="str">
        <f>IF(Q108=M108,N108,IF(Q108=(VLOOKUP(A108,[1]!TOX,40,FALSE)),"Bckgrnd",IF(Q108=(VLOOKUP(A108,[1]!TOX,79,FALSE)),"Ceiling","PQL")))</f>
        <v>MMCL</v>
      </c>
    </row>
    <row r="109" spans="1:19" s="94" customFormat="1" ht="10" x14ac:dyDescent="0.25">
      <c r="A109" s="619" t="s">
        <v>242</v>
      </c>
      <c r="B109" s="822"/>
      <c r="C109" s="823"/>
      <c r="D109" s="812">
        <f>IF((VLOOKUP(A109,[1]!TOX,4,FALSE))=0,0,('[1]Target Risk'!$D$8*(VLOOKUP(A109,[1]!TOX,4,FALSE))/('GW-1 Exp'!$J$18*(VLOOKUP(A109,[1]!TOX,31,FALSE)))))</f>
        <v>97.31662087912089</v>
      </c>
      <c r="E109" s="812">
        <f t="shared" si="34"/>
        <v>447.6564560439561</v>
      </c>
      <c r="F109" s="812">
        <f t="shared" si="31"/>
        <v>485.2957343522296</v>
      </c>
      <c r="G109" s="813">
        <f t="shared" si="17"/>
        <v>68.63327519090889</v>
      </c>
      <c r="H109" s="814">
        <f>IF(ISERR(1/(VLOOKUP(A109,[1]!TOX,12,FALSE))),0,'[1]Target Risk'!$D$12/('GW-1 Exp'!$J$26*(VLOOKUP(A109,[1]!TOX,33,FALSE))*(VLOOKUP(A109,[1]!TOX,12,FALSE))))</f>
        <v>0</v>
      </c>
      <c r="I109" s="812">
        <f>IF(ISERR(1/(VLOOKUP(A109,[1]!TOX,12,FALSE))),0,IF(VLOOKUP(A109,[1]!TOX,36,FALSE)="M",'[1]Target Risk'!$D$12/(((('GW-1 Exp'!$J$33*(VLOOKUP(A109,[1]!TOX,33,FALSE))*(VLOOKUP(A109,[1]!TOX,12,FALSE))))*10)+((('GW-1 Exp'!$J$34*(VLOOKUP(A109,[1]!TOX,33,FALSE))*(VLOOKUP(A109,[1]!TOX,12,FALSE))))*3)+((('GW-1 Exp'!$J$35*(VLOOKUP(A109,[1]!TOX,33,FALSE))*(VLOOKUP(A109,[1]!TOX,12,FALSE))))*3)+((('GW-1 Exp'!$J$36*(VLOOKUP(A109,[1]!TOX,33,FALSE))*(VLOOKUP(A109,[1]!TOX,12,FALSE))))*1)),'[1]Target Risk'!$D$12/('GW-1 Exp'!$J$26*(VLOOKUP(A109,[1]!TOX,33,FALSE))*(VLOOKUP(A109,[1]!TOX,12,FALSE)))))</f>
        <v>0</v>
      </c>
      <c r="J109" s="812">
        <f t="shared" si="32"/>
        <v>0</v>
      </c>
      <c r="K109" s="812">
        <f t="shared" si="33"/>
        <v>0</v>
      </c>
      <c r="L109" s="815">
        <f t="shared" si="27"/>
        <v>0</v>
      </c>
      <c r="M109" s="816">
        <f>IF(B109&lt;&gt;0,B109,IF((VLOOKUP(A109,[1]!TOX,44,FALSE))=0,O109,MIN(O109,(VLOOKUP(A109,[1]!TOX,44,FALSE)))))</f>
        <v>68.63327519090889</v>
      </c>
      <c r="N109" s="817" t="str">
        <f t="shared" si="28"/>
        <v>Noncancer</v>
      </c>
      <c r="O109" s="818">
        <f t="shared" si="30"/>
        <v>68.63327519090889</v>
      </c>
      <c r="P109" s="582">
        <f>IF($B109&lt;&gt;0,$B109,MIN(M109,(VLOOKUP(A109,[1]!TOX,79,FALSE))))</f>
        <v>68.63327519090889</v>
      </c>
      <c r="Q109" s="819">
        <f>IF($B109&lt;&gt;0,$B109,MAX($P109,(VLOOKUP(A109,[1]!TOX,40,FALSE)),(VLOOKUP(A109,[1]!TOX,51,FALSE))))</f>
        <v>68.63327519090889</v>
      </c>
      <c r="R109" s="820">
        <f t="shared" si="29"/>
        <v>70</v>
      </c>
      <c r="S109" s="821" t="str">
        <f>IF(Q109=M109,N109,IF(Q109=(VLOOKUP(A109,[1]!TOX,40,FALSE)),"Bckgrnd",IF(Q109=(VLOOKUP(A109,[1]!TOX,79,FALSE)),"Ceiling","PQL")))</f>
        <v>Noncancer</v>
      </c>
    </row>
    <row r="110" spans="1:19" s="94" customFormat="1" ht="10" x14ac:dyDescent="0.25">
      <c r="A110" s="619" t="s">
        <v>433</v>
      </c>
      <c r="B110" s="822"/>
      <c r="C110" s="823"/>
      <c r="D110" s="812">
        <f>IF((VLOOKUP(A110,[1]!TOX,4,FALSE))=0,0,('[1]Target Risk'!$D$8*(VLOOKUP(A110,[1]!TOX,4,FALSE))/('GW-1 Exp'!$J$18*(VLOOKUP(A110,[1]!TOX,31,FALSE)))))</f>
        <v>9.7316620879120901</v>
      </c>
      <c r="E110" s="812">
        <f t="shared" si="34"/>
        <v>1508.9591323517839</v>
      </c>
      <c r="F110" s="812">
        <f t="shared" si="31"/>
        <v>106.76506155749051</v>
      </c>
      <c r="G110" s="813">
        <f>IF(AND(D110=0,E110=0),F110,IF(AND(E110=0,F110=0),D110,IF(AND(D110=0,F110=0),E110,IF(E110=0,1/((1/D110)+(1/F110)),IF(D110=0,1/((1/E110)+(1/F110)),IF(F110=0,1/((1/D110)+(1/E110)),1/((1/D110)+(1/E110)+(1/F110))))))))</f>
        <v>8.8663142079119304</v>
      </c>
      <c r="H110" s="814">
        <f>IF(ISERR(1/(VLOOKUP(A110,[1]!TOX,12,FALSE))),0,'[1]Target Risk'!$D$12/('GW-1 Exp'!$J$26*(VLOOKUP(A110,[1]!TOX,33,FALSE))*(VLOOKUP(A110,[1]!TOX,12,FALSE))))</f>
        <v>0.50238382223173894</v>
      </c>
      <c r="I110" s="812">
        <f>IF(ISERR(1/(VLOOKUP(A110,[1]!TOX,12,FALSE))),0,IF(VLOOKUP(A110,[1]!TOX,36,FALSE)="M",'[1]Target Risk'!$D$12/(((('GW-1 Exp'!$J$33*(VLOOKUP(A110,[1]!TOX,33,FALSE))*(VLOOKUP(A110,[1]!TOX,12,FALSE))))*10)+((('GW-1 Exp'!$J$34*(VLOOKUP(A110,[1]!TOX,33,FALSE))*(VLOOKUP(A110,[1]!TOX,12,FALSE))))*3)+((('GW-1 Exp'!$J$35*(VLOOKUP(A110,[1]!TOX,33,FALSE))*(VLOOKUP(A110,[1]!TOX,12,FALSE))))*3)+((('GW-1 Exp'!$J$36*(VLOOKUP(A110,[1]!TOX,33,FALSE))*(VLOOKUP(A110,[1]!TOX,12,FALSE))))*1)),'[1]Target Risk'!$D$12/('GW-1 Exp'!$J$26*(VLOOKUP(A110,[1]!TOX,33,FALSE))*(VLOOKUP(A110,[1]!TOX,12,FALSE)))))</f>
        <v>0.50238382223173894</v>
      </c>
      <c r="J110" s="812">
        <f t="shared" si="32"/>
        <v>61.101456626455416</v>
      </c>
      <c r="K110" s="812">
        <f t="shared" si="33"/>
        <v>392.63248304481368</v>
      </c>
      <c r="L110" s="815">
        <f t="shared" si="27"/>
        <v>0.49765527497825512</v>
      </c>
      <c r="M110" s="816">
        <f>IF(B110&lt;&gt;0,B110,IF((VLOOKUP(A110,[1]!TOX,44,FALSE))=0,O110,MIN(O110,(VLOOKUP(A110,[1]!TOX,44,FALSE)))))</f>
        <v>0.49765527497825512</v>
      </c>
      <c r="N110" s="817" t="str">
        <f t="shared" si="28"/>
        <v>Cancer</v>
      </c>
      <c r="O110" s="818">
        <f t="shared" si="30"/>
        <v>0.49765527497825512</v>
      </c>
      <c r="P110" s="582">
        <f>IF($B110&lt;&gt;0,$B110,MIN(M110,(VLOOKUP(A110,[1]!TOX,79,FALSE))))</f>
        <v>0.49765527497825512</v>
      </c>
      <c r="Q110" s="819">
        <f>IF($B110&lt;&gt;0,$B110,MAX($P110,(VLOOKUP(A110,[1]!TOX,40,FALSE)),(VLOOKUP(A110,[1]!TOX,51,FALSE))))</f>
        <v>0.84</v>
      </c>
      <c r="R110" s="820">
        <v>1</v>
      </c>
      <c r="S110" s="821" t="str">
        <f>IF(Q110=M110,N110,IF(Q110=(VLOOKUP(A110,[1]!TOX,40,FALSE)),"Bckgrnd",IF(Q110=(VLOOKUP(A110,[1]!TOX,79,FALSE)),"Ceiling","PQL")))</f>
        <v>PQL</v>
      </c>
    </row>
    <row r="111" spans="1:19" s="94" customFormat="1" ht="10" x14ac:dyDescent="0.25">
      <c r="A111" s="619" t="s">
        <v>243</v>
      </c>
      <c r="B111" s="822">
        <v>50</v>
      </c>
      <c r="C111" s="823" t="s">
        <v>341</v>
      </c>
      <c r="D111" s="812">
        <f>IF((VLOOKUP(A111,[1]!TOX,4,FALSE))=0,0,('[1]Target Risk'!$D$8*(VLOOKUP(A111,[1]!TOX,4,FALSE))/('GW-1 Exp'!$J$18*(VLOOKUP(A111,[1]!TOX,31,FALSE)))))</f>
        <v>16.219436813186814</v>
      </c>
      <c r="E111" s="812">
        <f t="shared" si="34"/>
        <v>2491.8936807789673</v>
      </c>
      <c r="F111" s="812">
        <f t="shared" si="31"/>
        <v>0</v>
      </c>
      <c r="G111" s="813">
        <f t="shared" si="17"/>
        <v>16.114549147358762</v>
      </c>
      <c r="H111" s="814">
        <f>IF(ISERR(1/(VLOOKUP(A111,[1]!TOX,12,FALSE))),0,'[1]Target Risk'!$D$12/('GW-1 Exp'!$J$26*(VLOOKUP(A111,[1]!TOX,33,FALSE))*(VLOOKUP(A111,[1]!TOX,12,FALSE))))</f>
        <v>0</v>
      </c>
      <c r="I111" s="812">
        <f>IF(ISERR(1/(VLOOKUP(A111,[1]!TOX,12,FALSE))),0,IF(VLOOKUP(A111,[1]!TOX,36,FALSE)="M",'[1]Target Risk'!$D$12/(((('GW-1 Exp'!$J$33*(VLOOKUP(A111,[1]!TOX,33,FALSE))*(VLOOKUP(A111,[1]!TOX,12,FALSE))))*10)+((('GW-1 Exp'!$J$34*(VLOOKUP(A111,[1]!TOX,33,FALSE))*(VLOOKUP(A111,[1]!TOX,12,FALSE))))*3)+((('GW-1 Exp'!$J$35*(VLOOKUP(A111,[1]!TOX,33,FALSE))*(VLOOKUP(A111,[1]!TOX,12,FALSE))))*3)+((('GW-1 Exp'!$J$36*(VLOOKUP(A111,[1]!TOX,33,FALSE))*(VLOOKUP(A111,[1]!TOX,12,FALSE))))*1)),'[1]Target Risk'!$D$12/('GW-1 Exp'!$J$26*(VLOOKUP(A111,[1]!TOX,33,FALSE))*(VLOOKUP(A111,[1]!TOX,12,FALSE)))))</f>
        <v>0</v>
      </c>
      <c r="J111" s="812">
        <f t="shared" si="32"/>
        <v>0</v>
      </c>
      <c r="K111" s="812">
        <f t="shared" si="33"/>
        <v>0</v>
      </c>
      <c r="L111" s="815">
        <f t="shared" si="27"/>
        <v>0</v>
      </c>
      <c r="M111" s="816">
        <f>IF(B111&lt;&gt;0,B111,IF((VLOOKUP(A111,[1]!TOX,44,FALSE))=0,O111,MIN(O111,(VLOOKUP(A111,[1]!TOX,44,FALSE)))))</f>
        <v>50</v>
      </c>
      <c r="N111" s="817" t="str">
        <f t="shared" si="28"/>
        <v>MMCL</v>
      </c>
      <c r="O111" s="818">
        <f t="shared" si="30"/>
        <v>16.114549147358762</v>
      </c>
      <c r="P111" s="582">
        <f>IF($B111&lt;&gt;0,$B111,MIN(M111,(VLOOKUP(A111,[1]!TOX,79,FALSE))))</f>
        <v>50</v>
      </c>
      <c r="Q111" s="819">
        <f>IF($B111&lt;&gt;0,$B111,MAX($P111,(VLOOKUP(A111,[1]!TOX,40,FALSE)),(VLOOKUP(A111,[1]!TOX,51,FALSE))))</f>
        <v>50</v>
      </c>
      <c r="R111" s="820">
        <f t="shared" ref="R111:R129" si="35">IF(ISNUMBER(B111),Q111,ROUND(Q111,-INT(LOG10(ABS(Q111)))))</f>
        <v>50</v>
      </c>
      <c r="S111" s="821" t="str">
        <f>IF(Q111=M111,N111,IF(Q111=(VLOOKUP(A111,[1]!TOX,40,FALSE)),"Bckgrnd",IF(Q111=(VLOOKUP(A111,[1]!TOX,79,FALSE)),"Ceiling","PQL")))</f>
        <v>MMCL</v>
      </c>
    </row>
    <row r="112" spans="1:19" s="94" customFormat="1" ht="10" x14ac:dyDescent="0.25">
      <c r="A112" s="619" t="s">
        <v>244</v>
      </c>
      <c r="B112" s="822">
        <v>100</v>
      </c>
      <c r="C112" s="823" t="s">
        <v>13</v>
      </c>
      <c r="D112" s="812">
        <f>IF((VLOOKUP(A112,[1]!TOX,4,FALSE))=0,0,('[1]Target Risk'!$D$8*(VLOOKUP(A112,[1]!TOX,4,FALSE))/('GW-1 Exp'!$J$18*(VLOOKUP(A112,[1]!TOX,31,FALSE)))))</f>
        <v>16.219436813186814</v>
      </c>
      <c r="E112" s="812">
        <f t="shared" si="34"/>
        <v>276.87707564210757</v>
      </c>
      <c r="F112" s="812">
        <f t="shared" si="31"/>
        <v>0</v>
      </c>
      <c r="G112" s="813">
        <f t="shared" si="17"/>
        <v>15.321882187465755</v>
      </c>
      <c r="H112" s="814">
        <f>IF(ISERR(1/(VLOOKUP(A112,[1]!TOX,12,FALSE))),0,'[1]Target Risk'!$D$12/('GW-1 Exp'!$J$26*(VLOOKUP(A112,[1]!TOX,33,FALSE))*(VLOOKUP(A112,[1]!TOX,12,FALSE))))</f>
        <v>0</v>
      </c>
      <c r="I112" s="812">
        <f>IF(ISERR(1/(VLOOKUP(A112,[1]!TOX,12,FALSE))),0,IF(VLOOKUP(A112,[1]!TOX,36,FALSE)="M",'[1]Target Risk'!$D$12/(((('GW-1 Exp'!$J$33*(VLOOKUP(A112,[1]!TOX,33,FALSE))*(VLOOKUP(A112,[1]!TOX,12,FALSE))))*10)+((('GW-1 Exp'!$J$34*(VLOOKUP(A112,[1]!TOX,33,FALSE))*(VLOOKUP(A112,[1]!TOX,12,FALSE))))*3)+((('GW-1 Exp'!$J$35*(VLOOKUP(A112,[1]!TOX,33,FALSE))*(VLOOKUP(A112,[1]!TOX,12,FALSE))))*3)+((('GW-1 Exp'!$J$36*(VLOOKUP(A112,[1]!TOX,33,FALSE))*(VLOOKUP(A112,[1]!TOX,12,FALSE))))*1)),'[1]Target Risk'!$D$12/('GW-1 Exp'!$J$26*(VLOOKUP(A112,[1]!TOX,33,FALSE))*(VLOOKUP(A112,[1]!TOX,12,FALSE)))))</f>
        <v>0</v>
      </c>
      <c r="J112" s="812">
        <f t="shared" si="32"/>
        <v>0</v>
      </c>
      <c r="K112" s="812">
        <f t="shared" si="33"/>
        <v>0</v>
      </c>
      <c r="L112" s="815">
        <f t="shared" si="27"/>
        <v>0</v>
      </c>
      <c r="M112" s="816">
        <f>IF(B112&lt;&gt;0,B112,IF((VLOOKUP(A112,[1]!TOX,44,FALSE))=0,O112,MIN(O112,(VLOOKUP(A112,[1]!TOX,44,FALSE)))))</f>
        <v>100</v>
      </c>
      <c r="N112" s="817" t="str">
        <f t="shared" si="28"/>
        <v>SMCL</v>
      </c>
      <c r="O112" s="818">
        <f t="shared" si="30"/>
        <v>15.321882187465755</v>
      </c>
      <c r="P112" s="582">
        <f>IF($B112&lt;&gt;0,$B112,MIN(M112,(VLOOKUP(A112,[1]!TOX,79,FALSE))))</f>
        <v>100</v>
      </c>
      <c r="Q112" s="819">
        <f>IF($B112&lt;&gt;0,$B112,MAX($P112,(VLOOKUP(A112,[1]!TOX,40,FALSE)),(VLOOKUP(A112,[1]!TOX,51,FALSE))))</f>
        <v>100</v>
      </c>
      <c r="R112" s="820">
        <f t="shared" si="35"/>
        <v>100</v>
      </c>
      <c r="S112" s="821" t="str">
        <f>IF(Q112=M112,N112,IF(Q112=(VLOOKUP(A112,[1]!TOX,40,FALSE)),"Bckgrnd",IF(Q112=(VLOOKUP(A112,[1]!TOX,79,FALSE)),"Ceiling","PQL")))</f>
        <v>SMCL</v>
      </c>
    </row>
    <row r="113" spans="1:19" s="94" customFormat="1" ht="10" x14ac:dyDescent="0.25">
      <c r="A113" s="619" t="s">
        <v>245</v>
      </c>
      <c r="B113" s="822">
        <v>100</v>
      </c>
      <c r="C113" s="823" t="s">
        <v>341</v>
      </c>
      <c r="D113" s="812">
        <f>IF((VLOOKUP(A113,[1]!TOX,4,FALSE))=0,0,('[1]Target Risk'!$D$8*(VLOOKUP(A113,[1]!TOX,4,FALSE))/('GW-1 Exp'!$J$18*(VLOOKUP(A113,[1]!TOX,31,FALSE)))))</f>
        <v>648.7774725274727</v>
      </c>
      <c r="E113" s="812">
        <f t="shared" si="34"/>
        <v>1989.1073342860386</v>
      </c>
      <c r="F113" s="812">
        <f t="shared" si="31"/>
        <v>441.23817321223061</v>
      </c>
      <c r="G113" s="813">
        <f t="shared" si="17"/>
        <v>231.99442961578902</v>
      </c>
      <c r="H113" s="814">
        <f>IF(ISERR(1/(VLOOKUP(A113,[1]!TOX,12,FALSE))),0,'[1]Target Risk'!$D$12/('GW-1 Exp'!$J$26*(VLOOKUP(A113,[1]!TOX,33,FALSE))*(VLOOKUP(A113,[1]!TOX,12,FALSE))))</f>
        <v>1.8420740148497095</v>
      </c>
      <c r="I113" s="812">
        <f>IF(ISERR(1/(VLOOKUP(A113,[1]!TOX,12,FALSE))),0,IF(VLOOKUP(A113,[1]!TOX,36,FALSE)="M",'[1]Target Risk'!$D$12/(((('GW-1 Exp'!$J$33*(VLOOKUP(A113,[1]!TOX,33,FALSE))*(VLOOKUP(A113,[1]!TOX,12,FALSE))))*10)+((('GW-1 Exp'!$J$34*(VLOOKUP(A113,[1]!TOX,33,FALSE))*(VLOOKUP(A113,[1]!TOX,12,FALSE))))*3)+((('GW-1 Exp'!$J$35*(VLOOKUP(A113,[1]!TOX,33,FALSE))*(VLOOKUP(A113,[1]!TOX,12,FALSE))))*3)+((('GW-1 Exp'!$J$36*(VLOOKUP(A113,[1]!TOX,33,FALSE))*(VLOOKUP(A113,[1]!TOX,12,FALSE))))*1)),'[1]Target Risk'!$D$12/('GW-1 Exp'!$J$26*(VLOOKUP(A113,[1]!TOX,33,FALSE))*(VLOOKUP(A113,[1]!TOX,12,FALSE)))))</f>
        <v>1.8420740148497095</v>
      </c>
      <c r="J113" s="812">
        <f t="shared" si="32"/>
        <v>4.4299109298607426</v>
      </c>
      <c r="K113" s="812">
        <f t="shared" si="33"/>
        <v>5.2680708923467101</v>
      </c>
      <c r="L113" s="815">
        <f t="shared" si="27"/>
        <v>1.0433759219267491</v>
      </c>
      <c r="M113" s="816">
        <f>IF(B113&lt;&gt;0,B113,IF((VLOOKUP(A113,[1]!TOX,44,FALSE))=0,O113,MIN(O113,(VLOOKUP(A113,[1]!TOX,44,FALSE)))))</f>
        <v>100</v>
      </c>
      <c r="N113" s="817" t="str">
        <f t="shared" si="28"/>
        <v>MMCL</v>
      </c>
      <c r="O113" s="818">
        <f t="shared" si="30"/>
        <v>1.0433759219267491</v>
      </c>
      <c r="P113" s="582">
        <f>IF($B113&lt;&gt;0,$B113,MIN(M113,(VLOOKUP(A113,[1]!TOX,79,FALSE))))</f>
        <v>100</v>
      </c>
      <c r="Q113" s="819">
        <f>IF($B113&lt;&gt;0,$B113,MAX($P113,(VLOOKUP(A113,[1]!TOX,40,FALSE)),(VLOOKUP(A113,[1]!TOX,51,FALSE))))</f>
        <v>100</v>
      </c>
      <c r="R113" s="820">
        <f t="shared" si="35"/>
        <v>100</v>
      </c>
      <c r="S113" s="821" t="str">
        <f>IF(Q113=M113,N113,IF(Q113=(VLOOKUP(A113,[1]!TOX,40,FALSE)),"Bckgrnd",IF(Q113=(VLOOKUP(A113,[1]!TOX,79,FALSE)),"Ceiling","PQL")))</f>
        <v>MMCL</v>
      </c>
    </row>
    <row r="114" spans="1:19" s="94" customFormat="1" ht="10" x14ac:dyDescent="0.25">
      <c r="A114" s="619" t="s">
        <v>320</v>
      </c>
      <c r="B114" s="824">
        <v>3.0000000000000001E-5</v>
      </c>
      <c r="C114" s="823" t="s">
        <v>341</v>
      </c>
      <c r="D114" s="812">
        <f>IF((VLOOKUP(A114,[1]!TOX,4,FALSE))=0,0,('[1]Target Risk'!$D$8*(VLOOKUP(A114,[1]!TOX,4,FALSE))/('GW-1 Exp'!$J$18*(VLOOKUP(A114,[1]!TOX,31,FALSE)))))</f>
        <v>2.2707211538461543E-6</v>
      </c>
      <c r="E114" s="812">
        <f t="shared" si="34"/>
        <v>2.2707211538461543E-6</v>
      </c>
      <c r="F114" s="812">
        <f t="shared" si="31"/>
        <v>6.8019463012516031E-7</v>
      </c>
      <c r="G114" s="813">
        <f t="shared" si="17"/>
        <v>4.2536088392180888E-7</v>
      </c>
      <c r="H114" s="814">
        <f>IF(ISERR(1/(VLOOKUP(A114,[1]!TOX,12,FALSE))),0,'[1]Target Risk'!$D$12/('GW-1 Exp'!$J$26*(VLOOKUP(A114,[1]!TOX,33,FALSE))*(VLOOKUP(A114,[1]!TOX,12,FALSE))))</f>
        <v>3.6841480296994188E-7</v>
      </c>
      <c r="I114" s="812">
        <f>IF(ISERR(1/(VLOOKUP(A114,[1]!TOX,12,FALSE))),0,IF(VLOOKUP(A114,[1]!TOX,36,FALSE)="M",'[1]Target Risk'!$D$12/(((('GW-1 Exp'!$J$33*(VLOOKUP(A114,[1]!TOX,33,FALSE))*(VLOOKUP(A114,[1]!TOX,12,FALSE))))*10)+((('GW-1 Exp'!$J$34*(VLOOKUP(A114,[1]!TOX,33,FALSE))*(VLOOKUP(A114,[1]!TOX,12,FALSE))))*3)+((('GW-1 Exp'!$J$35*(VLOOKUP(A114,[1]!TOX,33,FALSE))*(VLOOKUP(A114,[1]!TOX,12,FALSE))))*3)+((('GW-1 Exp'!$J$36*(VLOOKUP(A114,[1]!TOX,33,FALSE))*(VLOOKUP(A114,[1]!TOX,12,FALSE))))*1)),'[1]Target Risk'!$D$12/('GW-1 Exp'!$J$26*(VLOOKUP(A114,[1]!TOX,33,FALSE))*(VLOOKUP(A114,[1]!TOX,12,FALSE)))))</f>
        <v>3.6841480296994188E-7</v>
      </c>
      <c r="J114" s="812">
        <f t="shared" si="32"/>
        <v>3.6841480296994188E-7</v>
      </c>
      <c r="K114" s="812">
        <f t="shared" si="33"/>
        <v>7.0136267814189655E-7</v>
      </c>
      <c r="L114" s="815">
        <f t="shared" si="27"/>
        <v>1.4589042630425731E-7</v>
      </c>
      <c r="M114" s="816">
        <f>IF(B114&lt;&gt;0,B114,IF((VLOOKUP(A114,[1]!TOX,44,FALSE))=0,O114,MIN(O114,(VLOOKUP(A114,[1]!TOX,44,FALSE)))))</f>
        <v>3.0000000000000001E-5</v>
      </c>
      <c r="N114" s="817" t="str">
        <f t="shared" si="28"/>
        <v>MMCL</v>
      </c>
      <c r="O114" s="818">
        <f t="shared" si="30"/>
        <v>1.4589042630425731E-7</v>
      </c>
      <c r="P114" s="582">
        <f>IF($B114&lt;&gt;0,$B114,MIN(M114,(VLOOKUP(A114,[1]!TOX,79,FALSE))))</f>
        <v>3.0000000000000001E-5</v>
      </c>
      <c r="Q114" s="819">
        <f>IF($B114&lt;&gt;0,$B114,MAX($P114,(VLOOKUP(A114,[1]!TOX,40,FALSE)),(VLOOKUP(A114,[1]!TOX,51,FALSE))))</f>
        <v>3.0000000000000001E-5</v>
      </c>
      <c r="R114" s="820">
        <f t="shared" si="35"/>
        <v>3.0000000000000001E-5</v>
      </c>
      <c r="S114" s="821" t="str">
        <f>IF(Q114=M114,N114,IF(Q114=(VLOOKUP(A114,[1]!TOX,40,FALSE)),"Bckgrnd",IF(Q114=(VLOOKUP(A114,[1]!TOX,79,FALSE)),"Ceiling","PQL")))</f>
        <v>MMCL</v>
      </c>
    </row>
    <row r="115" spans="1:19" s="94" customFormat="1" ht="10" x14ac:dyDescent="0.25">
      <c r="A115" s="619" t="s">
        <v>246</v>
      </c>
      <c r="B115" s="822"/>
      <c r="C115" s="823"/>
      <c r="D115" s="812">
        <f>IF((VLOOKUP(A115,[1]!TOX,4,FALSE))=0,0,('[1]Target Risk'!$D$8*(VLOOKUP(A115,[1]!TOX,4,FALSE))/('GW-1 Exp'!$J$18*(VLOOKUP(A115,[1]!TOX,31,FALSE)))))</f>
        <v>97.31662087912089</v>
      </c>
      <c r="E115" s="812">
        <f t="shared" si="34"/>
        <v>325.27262745949895</v>
      </c>
      <c r="F115" s="812">
        <f t="shared" si="31"/>
        <v>59.00394298199781</v>
      </c>
      <c r="G115" s="813">
        <f t="shared" si="17"/>
        <v>33.005368845884249</v>
      </c>
      <c r="H115" s="814">
        <f>IF(ISERR(1/(VLOOKUP(A115,[1]!TOX,12,FALSE))),0,'[1]Target Risk'!$D$12/('GW-1 Exp'!$J$26*(VLOOKUP(A115,[1]!TOX,33,FALSE))*(VLOOKUP(A115,[1]!TOX,12,FALSE))))</f>
        <v>2.1254700171342802</v>
      </c>
      <c r="I115" s="812">
        <f>IF(ISERR(1/(VLOOKUP(A115,[1]!TOX,12,FALSE))),0,IF(VLOOKUP(A115,[1]!TOX,36,FALSE)="M",'[1]Target Risk'!$D$12/(((('GW-1 Exp'!$J$33*(VLOOKUP(A115,[1]!TOX,33,FALSE))*(VLOOKUP(A115,[1]!TOX,12,FALSE))))*10)+((('GW-1 Exp'!$J$34*(VLOOKUP(A115,[1]!TOX,33,FALSE))*(VLOOKUP(A115,[1]!TOX,12,FALSE))))*3)+((('GW-1 Exp'!$J$35*(VLOOKUP(A115,[1]!TOX,33,FALSE))*(VLOOKUP(A115,[1]!TOX,12,FALSE))))*3)+((('GW-1 Exp'!$J$36*(VLOOKUP(A115,[1]!TOX,33,FALSE))*(VLOOKUP(A115,[1]!TOX,12,FALSE))))*1)),'[1]Target Risk'!$D$12/('GW-1 Exp'!$J$26*(VLOOKUP(A115,[1]!TOX,33,FALSE))*(VLOOKUP(A115,[1]!TOX,12,FALSE)))))</f>
        <v>2.1254700171342802</v>
      </c>
      <c r="J115" s="812">
        <f t="shared" si="32"/>
        <v>5.5723827728000819</v>
      </c>
      <c r="K115" s="812">
        <f t="shared" si="33"/>
        <v>0.49329875364482034</v>
      </c>
      <c r="L115" s="815">
        <f t="shared" si="27"/>
        <v>0.37353717212054582</v>
      </c>
      <c r="M115" s="816">
        <f>IF(B115&lt;&gt;0,B115,IF((VLOOKUP(A115,[1]!TOX,44,FALSE))=0,O115,MIN(O115,(VLOOKUP(A115,[1]!TOX,44,FALSE)))))</f>
        <v>0.37353717212054582</v>
      </c>
      <c r="N115" s="817" t="str">
        <f t="shared" si="28"/>
        <v>Cancer</v>
      </c>
      <c r="O115" s="818">
        <f t="shared" si="30"/>
        <v>0.37353717212054582</v>
      </c>
      <c r="P115" s="582">
        <f>IF($B115&lt;&gt;0,$B115,MIN(M115,(VLOOKUP(A115,[1]!TOX,79,FALSE))))</f>
        <v>0.37353717212054582</v>
      </c>
      <c r="Q115" s="819">
        <f>IF($B115&lt;&gt;0,$B115,MAX($P115,(VLOOKUP(A115,[1]!TOX,40,FALSE)),(VLOOKUP(A115,[1]!TOX,51,FALSE))))</f>
        <v>5</v>
      </c>
      <c r="R115" s="820">
        <f t="shared" si="35"/>
        <v>5</v>
      </c>
      <c r="S115" s="821" t="str">
        <f>IF(Q115=M115,N115,IF(Q115=(VLOOKUP(A115,[1]!TOX,40,FALSE)),"Bckgrnd",IF(Q115=(VLOOKUP(A115,[1]!TOX,79,FALSE)),"Ceiling","PQL")))</f>
        <v>PQL</v>
      </c>
    </row>
    <row r="116" spans="1:19" s="94" customFormat="1" ht="10" x14ac:dyDescent="0.25">
      <c r="A116" s="619" t="s">
        <v>247</v>
      </c>
      <c r="B116" s="822"/>
      <c r="C116" s="823"/>
      <c r="D116" s="812">
        <f>IF((VLOOKUP(A116,[1]!TOX,4,FALSE))=0,0,('[1]Target Risk'!$D$8*(VLOOKUP(A116,[1]!TOX,4,FALSE))/('GW-1 Exp'!$J$18*(VLOOKUP(A116,[1]!TOX,31,FALSE)))))</f>
        <v>64.877747252747255</v>
      </c>
      <c r="E116" s="812">
        <f t="shared" si="34"/>
        <v>0</v>
      </c>
      <c r="F116" s="812">
        <f t="shared" si="31"/>
        <v>71.140445898099443</v>
      </c>
      <c r="G116" s="813">
        <f t="shared" si="17"/>
        <v>33.93245977989163</v>
      </c>
      <c r="H116" s="814">
        <f>IF(ISERR(1/(VLOOKUP(A116,[1]!TOX,12,FALSE))),0,'[1]Target Risk'!$D$12/('GW-1 Exp'!$J$26*(VLOOKUP(A116,[1]!TOX,33,FALSE))*(VLOOKUP(A116,[1]!TOX,12,FALSE))))</f>
        <v>0.27631110222745642</v>
      </c>
      <c r="I116" s="812">
        <f>IF(ISERR(1/(VLOOKUP(A116,[1]!TOX,12,FALSE))),0,IF(VLOOKUP(A116,[1]!TOX,36,FALSE)="M",'[1]Target Risk'!$D$12/(((('GW-1 Exp'!$J$33*(VLOOKUP(A116,[1]!TOX,33,FALSE))*(VLOOKUP(A116,[1]!TOX,12,FALSE))))*10)+((('GW-1 Exp'!$J$34*(VLOOKUP(A116,[1]!TOX,33,FALSE))*(VLOOKUP(A116,[1]!TOX,12,FALSE))))*3)+((('GW-1 Exp'!$J$35*(VLOOKUP(A116,[1]!TOX,33,FALSE))*(VLOOKUP(A116,[1]!TOX,12,FALSE))))*3)+((('GW-1 Exp'!$J$36*(VLOOKUP(A116,[1]!TOX,33,FALSE))*(VLOOKUP(A116,[1]!TOX,12,FALSE))))*1)),'[1]Target Risk'!$D$12/('GW-1 Exp'!$J$26*(VLOOKUP(A116,[1]!TOX,33,FALSE))*(VLOOKUP(A116,[1]!TOX,12,FALSE)))))</f>
        <v>0.27631110222745642</v>
      </c>
      <c r="J116" s="812">
        <f t="shared" si="32"/>
        <v>1.6458274188444724</v>
      </c>
      <c r="K116" s="812">
        <f t="shared" si="33"/>
        <v>8.9755078120120929E-2</v>
      </c>
      <c r="L116" s="815">
        <f t="shared" si="27"/>
        <v>6.506969573018459E-2</v>
      </c>
      <c r="M116" s="816">
        <f>IF(B116&lt;&gt;0,B116,IF((VLOOKUP(A116,[1]!TOX,44,FALSE))=0,O116,MIN(O116,(VLOOKUP(A116,[1]!TOX,44,FALSE)))))</f>
        <v>6.506969573018459E-2</v>
      </c>
      <c r="N116" s="817" t="str">
        <f t="shared" si="28"/>
        <v>Cancer</v>
      </c>
      <c r="O116" s="818">
        <f t="shared" si="30"/>
        <v>6.506969573018459E-2</v>
      </c>
      <c r="P116" s="582">
        <f>IF($B116&lt;&gt;0,$B116,MIN(M116,(VLOOKUP(A116,[1]!TOX,79,FALSE))))</f>
        <v>6.506969573018459E-2</v>
      </c>
      <c r="Q116" s="819">
        <f>IF($B116&lt;&gt;0,$B116,MAX($P116,(VLOOKUP(A116,[1]!TOX,40,FALSE)),(VLOOKUP(A116,[1]!TOX,51,FALSE))))</f>
        <v>2</v>
      </c>
      <c r="R116" s="820">
        <f t="shared" si="35"/>
        <v>2</v>
      </c>
      <c r="S116" s="821" t="str">
        <f>IF(Q116=M116,N116,IF(Q116=(VLOOKUP(A116,[1]!TOX,40,FALSE)),"Bckgrnd",IF(Q116=(VLOOKUP(A116,[1]!TOX,79,FALSE)),"Ceiling","PQL")))</f>
        <v>PQL</v>
      </c>
    </row>
    <row r="117" spans="1:19" s="94" customFormat="1" ht="10" x14ac:dyDescent="0.25">
      <c r="A117" s="619" t="s">
        <v>248</v>
      </c>
      <c r="B117" s="822">
        <v>5</v>
      </c>
      <c r="C117" s="823" t="s">
        <v>341</v>
      </c>
      <c r="D117" s="812">
        <f>IF((VLOOKUP(A117,[1]!TOX,4,FALSE))=0,0,('[1]Target Risk'!$D$8*(VLOOKUP(A117,[1]!TOX,4,FALSE))/('GW-1 Exp'!$J$18*(VLOOKUP(A117,[1]!TOX,31,FALSE)))))</f>
        <v>19.46332417582418</v>
      </c>
      <c r="E117" s="812">
        <f t="shared" si="34"/>
        <v>44.913766150967199</v>
      </c>
      <c r="F117" s="812">
        <f t="shared" si="31"/>
        <v>19.982217531842576</v>
      </c>
      <c r="G117" s="813">
        <f t="shared" si="17"/>
        <v>8.0848541510130261</v>
      </c>
      <c r="H117" s="814">
        <f>IF(ISERR(1/(VLOOKUP(A117,[1]!TOX,12,FALSE))),0,'[1]Target Risk'!$D$12/('GW-1 Exp'!$J$26*(VLOOKUP(A117,[1]!TOX,33,FALSE))*(VLOOKUP(A117,[1]!TOX,12,FALSE))))</f>
        <v>2.7631110222745638</v>
      </c>
      <c r="I117" s="812">
        <f>IF(ISERR(1/(VLOOKUP(A117,[1]!TOX,12,FALSE))),0,IF(VLOOKUP(A117,[1]!TOX,36,FALSE)="M",'[1]Target Risk'!$D$12/(((('GW-1 Exp'!$J$33*(VLOOKUP(A117,[1]!TOX,33,FALSE))*(VLOOKUP(A117,[1]!TOX,12,FALSE))))*10)+((('GW-1 Exp'!$J$34*(VLOOKUP(A117,[1]!TOX,33,FALSE))*(VLOOKUP(A117,[1]!TOX,12,FALSE))))*3)+((('GW-1 Exp'!$J$35*(VLOOKUP(A117,[1]!TOX,33,FALSE))*(VLOOKUP(A117,[1]!TOX,12,FALSE))))*3)+((('GW-1 Exp'!$J$36*(VLOOKUP(A117,[1]!TOX,33,FALSE))*(VLOOKUP(A117,[1]!TOX,12,FALSE))))*1)),'[1]Target Risk'!$D$12/('GW-1 Exp'!$J$26*(VLOOKUP(A117,[1]!TOX,33,FALSE))*(VLOOKUP(A117,[1]!TOX,12,FALSE)))))</f>
        <v>2.7631110222745638</v>
      </c>
      <c r="J117" s="812">
        <f t="shared" si="32"/>
        <v>5.0013385437743176</v>
      </c>
      <c r="K117" s="812">
        <f t="shared" si="33"/>
        <v>1.1332241597412407</v>
      </c>
      <c r="L117" s="815">
        <f t="shared" si="27"/>
        <v>0.69237917362114842</v>
      </c>
      <c r="M117" s="816">
        <f>IF(B117&lt;&gt;0,B117,IF((VLOOKUP(A117,[1]!TOX,44,FALSE))=0,O117,MIN(O117,(VLOOKUP(A117,[1]!TOX,44,FALSE)))))</f>
        <v>5</v>
      </c>
      <c r="N117" s="817" t="str">
        <f t="shared" si="28"/>
        <v>MMCL</v>
      </c>
      <c r="O117" s="818">
        <f t="shared" si="30"/>
        <v>0.69237917362114842</v>
      </c>
      <c r="P117" s="582">
        <f>IF($B117&lt;&gt;0,$B117,MIN(M117,(VLOOKUP(A117,[1]!TOX,79,FALSE))))</f>
        <v>5</v>
      </c>
      <c r="Q117" s="819">
        <f>IF($B117&lt;&gt;0,$B117,MAX($P117,(VLOOKUP(A117,[1]!TOX,40,FALSE)),(VLOOKUP(A117,[1]!TOX,51,FALSE))))</f>
        <v>5</v>
      </c>
      <c r="R117" s="820">
        <f t="shared" si="35"/>
        <v>5</v>
      </c>
      <c r="S117" s="821" t="str">
        <f>IF(Q117=M117,N117,IF(Q117=(VLOOKUP(A117,[1]!TOX,40,FALSE)),"Bckgrnd",IF(Q117=(VLOOKUP(A117,[1]!TOX,79,FALSE)),"Ceiling","PQL")))</f>
        <v>MMCL</v>
      </c>
    </row>
    <row r="118" spans="1:19" s="94" customFormat="1" ht="10" x14ac:dyDescent="0.25">
      <c r="A118" s="619" t="s">
        <v>249</v>
      </c>
      <c r="B118" s="822">
        <v>2</v>
      </c>
      <c r="C118" s="823" t="s">
        <v>341</v>
      </c>
      <c r="D118" s="812">
        <f>IF((VLOOKUP(A118,[1]!TOX,4,FALSE))=0,0,('[1]Target Risk'!$D$8*(VLOOKUP(A118,[1]!TOX,4,FALSE))/('GW-1 Exp'!$J$18*(VLOOKUP(A118,[1]!TOX,31,FALSE)))))</f>
        <v>0.25951098901098907</v>
      </c>
      <c r="E118" s="812">
        <f t="shared" si="34"/>
        <v>66.450498154105802</v>
      </c>
      <c r="F118" s="812">
        <f t="shared" si="31"/>
        <v>0</v>
      </c>
      <c r="G118" s="813">
        <f t="shared" si="17"/>
        <v>0.25850145604460945</v>
      </c>
      <c r="H118" s="814">
        <f>IF(ISERR(1/(VLOOKUP(A118,[1]!TOX,12,FALSE))),0,'[1]Target Risk'!$D$12/('GW-1 Exp'!$J$26*(VLOOKUP(A118,[1]!TOX,33,FALSE))*(VLOOKUP(A118,[1]!TOX,12,FALSE))))</f>
        <v>0</v>
      </c>
      <c r="I118" s="812">
        <f>IF(ISERR(1/(VLOOKUP(A118,[1]!TOX,12,FALSE))),0,IF(VLOOKUP(A118,[1]!TOX,36,FALSE)="M",'[1]Target Risk'!$D$12/(((('GW-1 Exp'!$J$33*(VLOOKUP(A118,[1]!TOX,33,FALSE))*(VLOOKUP(A118,[1]!TOX,12,FALSE))))*10)+((('GW-1 Exp'!$J$34*(VLOOKUP(A118,[1]!TOX,33,FALSE))*(VLOOKUP(A118,[1]!TOX,12,FALSE))))*3)+((('GW-1 Exp'!$J$35*(VLOOKUP(A118,[1]!TOX,33,FALSE))*(VLOOKUP(A118,[1]!TOX,12,FALSE))))*3)+((('GW-1 Exp'!$J$36*(VLOOKUP(A118,[1]!TOX,33,FALSE))*(VLOOKUP(A118,[1]!TOX,12,FALSE))))*1)),'[1]Target Risk'!$D$12/('GW-1 Exp'!$J$26*(VLOOKUP(A118,[1]!TOX,33,FALSE))*(VLOOKUP(A118,[1]!TOX,12,FALSE)))))</f>
        <v>0</v>
      </c>
      <c r="J118" s="812">
        <f t="shared" si="32"/>
        <v>0</v>
      </c>
      <c r="K118" s="812">
        <f t="shared" si="33"/>
        <v>0</v>
      </c>
      <c r="L118" s="815">
        <f t="shared" si="27"/>
        <v>0</v>
      </c>
      <c r="M118" s="816">
        <f>IF(B118&lt;&gt;0,B118,IF((VLOOKUP(A118,[1]!TOX,44,FALSE))=0,O118,MIN(O118,(VLOOKUP(A118,[1]!TOX,44,FALSE)))))</f>
        <v>2</v>
      </c>
      <c r="N118" s="817" t="str">
        <f t="shared" si="28"/>
        <v>MMCL</v>
      </c>
      <c r="O118" s="818">
        <f t="shared" si="30"/>
        <v>0.25850145604460945</v>
      </c>
      <c r="P118" s="582">
        <f>IF($B118&lt;&gt;0,$B118,MIN(M118,(VLOOKUP(A118,[1]!TOX,79,FALSE))))</f>
        <v>2</v>
      </c>
      <c r="Q118" s="819">
        <f>IF($B118&lt;&gt;0,$B118,MAX($P118,(VLOOKUP(A118,[1]!TOX,40,FALSE)),(VLOOKUP(A118,[1]!TOX,51,FALSE))))</f>
        <v>2</v>
      </c>
      <c r="R118" s="820">
        <f t="shared" si="35"/>
        <v>2</v>
      </c>
      <c r="S118" s="821" t="str">
        <f>IF(Q118=M118,N118,IF(Q118=(VLOOKUP(A118,[1]!TOX,40,FALSE)),"Bckgrnd",IF(Q118=(VLOOKUP(A118,[1]!TOX,79,FALSE)),"Ceiling","PQL")))</f>
        <v>MMCL</v>
      </c>
    </row>
    <row r="119" spans="1:19" s="94" customFormat="1" ht="10" x14ac:dyDescent="0.25">
      <c r="A119" s="619" t="s">
        <v>250</v>
      </c>
      <c r="B119" s="822">
        <v>1000</v>
      </c>
      <c r="C119" s="823" t="s">
        <v>341</v>
      </c>
      <c r="D119" s="812">
        <f>IF((VLOOKUP(A119,[1]!TOX,4,FALSE))=0,0,('[1]Target Risk'!$D$8*(VLOOKUP(A119,[1]!TOX,4,FALSE))/('GW-1 Exp'!$J$18*(VLOOKUP(A119,[1]!TOX,31,FALSE)))))</f>
        <v>259.51098901098902</v>
      </c>
      <c r="E119" s="812">
        <f t="shared" si="34"/>
        <v>1028.7698075944149</v>
      </c>
      <c r="F119" s="812">
        <f t="shared" si="31"/>
        <v>2030.9303353048385</v>
      </c>
      <c r="G119" s="813">
        <f t="shared" si="17"/>
        <v>188.04693583903412</v>
      </c>
      <c r="H119" s="814">
        <f>IF(ISERR(1/(VLOOKUP(A119,[1]!TOX,12,FALSE))),0,'[1]Target Risk'!$D$12/('GW-1 Exp'!$J$26*(VLOOKUP(A119,[1]!TOX,33,FALSE))*(VLOOKUP(A119,[1]!TOX,12,FALSE))))</f>
        <v>0</v>
      </c>
      <c r="I119" s="812">
        <f>IF(ISERR(1/(VLOOKUP(A119,[1]!TOX,12,FALSE))),0,IF(VLOOKUP(A119,[1]!TOX,36,FALSE)="M",'[1]Target Risk'!$D$12/(((('GW-1 Exp'!$J$33*(VLOOKUP(A119,[1]!TOX,33,FALSE))*(VLOOKUP(A119,[1]!TOX,12,FALSE))))*10)+((('GW-1 Exp'!$J$34*(VLOOKUP(A119,[1]!TOX,33,FALSE))*(VLOOKUP(A119,[1]!TOX,12,FALSE))))*3)+((('GW-1 Exp'!$J$35*(VLOOKUP(A119,[1]!TOX,33,FALSE))*(VLOOKUP(A119,[1]!TOX,12,FALSE))))*3)+((('GW-1 Exp'!$J$36*(VLOOKUP(A119,[1]!TOX,33,FALSE))*(VLOOKUP(A119,[1]!TOX,12,FALSE))))*1)),'[1]Target Risk'!$D$12/('GW-1 Exp'!$J$26*(VLOOKUP(A119,[1]!TOX,33,FALSE))*(VLOOKUP(A119,[1]!TOX,12,FALSE)))))</f>
        <v>0</v>
      </c>
      <c r="J119" s="812">
        <f t="shared" si="32"/>
        <v>0</v>
      </c>
      <c r="K119" s="812">
        <f t="shared" si="33"/>
        <v>0</v>
      </c>
      <c r="L119" s="815">
        <f t="shared" si="27"/>
        <v>0</v>
      </c>
      <c r="M119" s="816">
        <f>IF(B119&lt;&gt;0,B119,IF((VLOOKUP(A119,[1]!TOX,44,FALSE))=0,O119,MIN(O119,(VLOOKUP(A119,[1]!TOX,44,FALSE)))))</f>
        <v>1000</v>
      </c>
      <c r="N119" s="817" t="str">
        <f t="shared" si="28"/>
        <v>MMCL</v>
      </c>
      <c r="O119" s="818">
        <f t="shared" si="30"/>
        <v>188.04693583903412</v>
      </c>
      <c r="P119" s="582">
        <f>IF($B119&lt;&gt;0,$B119,MIN(M119,(VLOOKUP(A119,[1]!TOX,79,FALSE))))</f>
        <v>1000</v>
      </c>
      <c r="Q119" s="819">
        <f>IF($B119&lt;&gt;0,$B119,MAX($P119,(VLOOKUP(A119,[1]!TOX,40,FALSE)),(VLOOKUP(A119,[1]!TOX,51,FALSE))))</f>
        <v>1000</v>
      </c>
      <c r="R119" s="820">
        <f t="shared" si="35"/>
        <v>1000</v>
      </c>
      <c r="S119" s="821" t="str">
        <f>IF(Q119=M119,N119,IF(Q119=(VLOOKUP(A119,[1]!TOX,40,FALSE)),"Bckgrnd",IF(Q119=(VLOOKUP(A119,[1]!TOX,79,FALSE)),"Ceiling","PQL")))</f>
        <v>MMCL</v>
      </c>
    </row>
    <row r="120" spans="1:19" s="94" customFormat="1" ht="10" x14ac:dyDescent="0.25">
      <c r="A120" s="619" t="s">
        <v>251</v>
      </c>
      <c r="B120" s="822">
        <v>70</v>
      </c>
      <c r="C120" s="823" t="s">
        <v>341</v>
      </c>
      <c r="D120" s="812">
        <f>IF((VLOOKUP(A120,[1]!TOX,4,FALSE))=0,0,('[1]Target Risk'!$D$8*(VLOOKUP(A120,[1]!TOX,4,FALSE))/('GW-1 Exp'!$J$18*(VLOOKUP(A120,[1]!TOX,31,FALSE)))))</f>
        <v>32.438873626373628</v>
      </c>
      <c r="E120" s="812">
        <f t="shared" si="34"/>
        <v>32.13869388446615</v>
      </c>
      <c r="F120" s="812">
        <f t="shared" si="31"/>
        <v>1.1660722096973319</v>
      </c>
      <c r="G120" s="813">
        <f t="shared" si="17"/>
        <v>1.0875213520937397</v>
      </c>
      <c r="H120" s="814">
        <f>IF(ISERR(1/(VLOOKUP(A120,[1]!TOX,12,FALSE))),0,'[1]Target Risk'!$D$12/('GW-1 Exp'!$J$26*(VLOOKUP(A120,[1]!TOX,33,FALSE))*(VLOOKUP(A120,[1]!TOX,12,FALSE))))</f>
        <v>0</v>
      </c>
      <c r="I120" s="812">
        <f>IF(ISERR(1/(VLOOKUP(A120,[1]!TOX,12,FALSE))),0,IF(VLOOKUP(A120,[1]!TOX,36,FALSE)="M",'[1]Target Risk'!$D$12/(((('GW-1 Exp'!$J$33*(VLOOKUP(A120,[1]!TOX,33,FALSE))*(VLOOKUP(A120,[1]!TOX,12,FALSE))))*10)+((('GW-1 Exp'!$J$34*(VLOOKUP(A120,[1]!TOX,33,FALSE))*(VLOOKUP(A120,[1]!TOX,12,FALSE))))*3)+((('GW-1 Exp'!$J$35*(VLOOKUP(A120,[1]!TOX,33,FALSE))*(VLOOKUP(A120,[1]!TOX,12,FALSE))))*3)+((('GW-1 Exp'!$J$36*(VLOOKUP(A120,[1]!TOX,33,FALSE))*(VLOOKUP(A120,[1]!TOX,12,FALSE))))*1)),'[1]Target Risk'!$D$12/('GW-1 Exp'!$J$26*(VLOOKUP(A120,[1]!TOX,33,FALSE))*(VLOOKUP(A120,[1]!TOX,12,FALSE)))))</f>
        <v>0</v>
      </c>
      <c r="J120" s="812">
        <f t="shared" si="32"/>
        <v>0</v>
      </c>
      <c r="K120" s="812">
        <f t="shared" si="33"/>
        <v>0</v>
      </c>
      <c r="L120" s="815">
        <f t="shared" si="27"/>
        <v>0</v>
      </c>
      <c r="M120" s="816">
        <f>IF(B120&lt;&gt;0,B120,IF((VLOOKUP(A120,[1]!TOX,44,FALSE))=0,O120,MIN(O120,(VLOOKUP(A120,[1]!TOX,44,FALSE)))))</f>
        <v>70</v>
      </c>
      <c r="N120" s="817" t="str">
        <f t="shared" si="28"/>
        <v>MMCL</v>
      </c>
      <c r="O120" s="818">
        <f t="shared" si="30"/>
        <v>1.0875213520937397</v>
      </c>
      <c r="P120" s="582">
        <f>IF($B120&lt;&gt;0,$B120,MIN(M120,(VLOOKUP(A120,[1]!TOX,79,FALSE))))</f>
        <v>70</v>
      </c>
      <c r="Q120" s="819">
        <f>IF($B120&lt;&gt;0,$B120,MAX($P120,(VLOOKUP(A120,[1]!TOX,40,FALSE)),(VLOOKUP(A120,[1]!TOX,51,FALSE))))</f>
        <v>70</v>
      </c>
      <c r="R120" s="820">
        <f t="shared" si="35"/>
        <v>70</v>
      </c>
      <c r="S120" s="821" t="str">
        <f>IF(Q120=M120,N120,IF(Q120=(VLOOKUP(A120,[1]!TOX,40,FALSE)),"Bckgrnd",IF(Q120=(VLOOKUP(A120,[1]!TOX,79,FALSE)),"Ceiling","PQL")))</f>
        <v>MMCL</v>
      </c>
    </row>
    <row r="121" spans="1:19" s="94" customFormat="1" ht="10" x14ac:dyDescent="0.25">
      <c r="A121" s="619" t="s">
        <v>252</v>
      </c>
      <c r="B121" s="822">
        <v>200</v>
      </c>
      <c r="C121" s="823" t="s">
        <v>341</v>
      </c>
      <c r="D121" s="812">
        <f>IF((VLOOKUP(A121,[1]!TOX,4,FALSE))=0,0,('[1]Target Risk'!$D$8*(VLOOKUP(A121,[1]!TOX,4,FALSE))/('GW-1 Exp'!$J$18*(VLOOKUP(A121,[1]!TOX,31,FALSE)))))</f>
        <v>6487.7747252747267</v>
      </c>
      <c r="E121" s="812">
        <f t="shared" si="34"/>
        <v>48245.656313347441</v>
      </c>
      <c r="F121" s="812">
        <f t="shared" si="31"/>
        <v>2292.2375306491995</v>
      </c>
      <c r="G121" s="813">
        <f t="shared" si="17"/>
        <v>1636.3444602170348</v>
      </c>
      <c r="H121" s="814">
        <f>IF(ISERR(1/(VLOOKUP(A121,[1]!TOX,12,FALSE))),0,'[1]Target Risk'!$D$12/('GW-1 Exp'!$J$26*(VLOOKUP(A121,[1]!TOX,33,FALSE))*(VLOOKUP(A121,[1]!TOX,12,FALSE))))</f>
        <v>0</v>
      </c>
      <c r="I121" s="812">
        <f>IF(ISERR(1/(VLOOKUP(A121,[1]!TOX,12,FALSE))),0,IF(VLOOKUP(A121,[1]!TOX,36,FALSE)="M",'[1]Target Risk'!$D$12/(((('GW-1 Exp'!$J$33*(VLOOKUP(A121,[1]!TOX,33,FALSE))*(VLOOKUP(A121,[1]!TOX,12,FALSE))))*10)+((('GW-1 Exp'!$J$34*(VLOOKUP(A121,[1]!TOX,33,FALSE))*(VLOOKUP(A121,[1]!TOX,12,FALSE))))*3)+((('GW-1 Exp'!$J$35*(VLOOKUP(A121,[1]!TOX,33,FALSE))*(VLOOKUP(A121,[1]!TOX,12,FALSE))))*3)+((('GW-1 Exp'!$J$36*(VLOOKUP(A121,[1]!TOX,33,FALSE))*(VLOOKUP(A121,[1]!TOX,12,FALSE))))*1)),'[1]Target Risk'!$D$12/('GW-1 Exp'!$J$26*(VLOOKUP(A121,[1]!TOX,33,FALSE))*(VLOOKUP(A121,[1]!TOX,12,FALSE)))))</f>
        <v>0</v>
      </c>
      <c r="J121" s="812">
        <f t="shared" si="32"/>
        <v>0</v>
      </c>
      <c r="K121" s="812">
        <f t="shared" si="33"/>
        <v>0</v>
      </c>
      <c r="L121" s="815">
        <f t="shared" si="27"/>
        <v>0</v>
      </c>
      <c r="M121" s="816">
        <f>IF(B121&lt;&gt;0,B121,IF((VLOOKUP(A121,[1]!TOX,44,FALSE))=0,O121,MIN(O121,(VLOOKUP(A121,[1]!TOX,44,FALSE)))))</f>
        <v>200</v>
      </c>
      <c r="N121" s="817" t="str">
        <f t="shared" si="28"/>
        <v>MMCL</v>
      </c>
      <c r="O121" s="818">
        <f t="shared" si="30"/>
        <v>1636.3444602170348</v>
      </c>
      <c r="P121" s="582">
        <f>IF($B121&lt;&gt;0,$B121,MIN(M121,(VLOOKUP(A121,[1]!TOX,79,FALSE))))</f>
        <v>200</v>
      </c>
      <c r="Q121" s="819">
        <f>IF($B121&lt;&gt;0,$B121,MAX($P121,(VLOOKUP(A121,[1]!TOX,40,FALSE)),(VLOOKUP(A121,[1]!TOX,51,FALSE))))</f>
        <v>200</v>
      </c>
      <c r="R121" s="820">
        <f t="shared" si="35"/>
        <v>200</v>
      </c>
      <c r="S121" s="821" t="str">
        <f>IF(Q121=M121,N121,IF(Q121=(VLOOKUP(A121,[1]!TOX,40,FALSE)),"Bckgrnd",IF(Q121=(VLOOKUP(A121,[1]!TOX,79,FALSE)),"Ceiling","PQL")))</f>
        <v>MMCL</v>
      </c>
    </row>
    <row r="122" spans="1:19" s="94" customFormat="1" ht="10" x14ac:dyDescent="0.25">
      <c r="A122" s="619" t="s">
        <v>253</v>
      </c>
      <c r="B122" s="822">
        <v>5</v>
      </c>
      <c r="C122" s="823" t="s">
        <v>341</v>
      </c>
      <c r="D122" s="812">
        <f>IF((VLOOKUP(A122,[1]!TOX,4,FALSE))=0,0,('[1]Target Risk'!$D$8*(VLOOKUP(A122,[1]!TOX,4,FALSE))/('GW-1 Exp'!$J$18*(VLOOKUP(A122,[1]!TOX,31,FALSE)))))</f>
        <v>12.975549450549453</v>
      </c>
      <c r="E122" s="812">
        <f t="shared" si="34"/>
        <v>240.15310958162348</v>
      </c>
      <c r="F122" s="812">
        <f t="shared" si="31"/>
        <v>41.375802876203252</v>
      </c>
      <c r="G122" s="813">
        <f t="shared" si="17"/>
        <v>9.4875982650467581</v>
      </c>
      <c r="H122" s="814">
        <f>IF(ISERR(1/(VLOOKUP(A122,[1]!TOX,12,FALSE))),0,'[1]Target Risk'!$D$12/('GW-1 Exp'!$J$26*(VLOOKUP(A122,[1]!TOX,33,FALSE))*(VLOOKUP(A122,[1]!TOX,12,FALSE))))</f>
        <v>0.96951263939458387</v>
      </c>
      <c r="I122" s="812">
        <f>IF(ISERR(1/(VLOOKUP(A122,[1]!TOX,12,FALSE))),0,IF(VLOOKUP(A122,[1]!TOX,36,FALSE)="M",'[1]Target Risk'!$D$12/(((('GW-1 Exp'!$J$33*(VLOOKUP(A122,[1]!TOX,33,FALSE))*(VLOOKUP(A122,[1]!TOX,12,FALSE))))*10)+((('GW-1 Exp'!$J$34*(VLOOKUP(A122,[1]!TOX,33,FALSE))*(VLOOKUP(A122,[1]!TOX,12,FALSE))))*3)+((('GW-1 Exp'!$J$35*(VLOOKUP(A122,[1]!TOX,33,FALSE))*(VLOOKUP(A122,[1]!TOX,12,FALSE))))*3)+((('GW-1 Exp'!$J$36*(VLOOKUP(A122,[1]!TOX,33,FALSE))*(VLOOKUP(A122,[1]!TOX,12,FALSE))))*1)),'[1]Target Risk'!$D$12/('GW-1 Exp'!$J$26*(VLOOKUP(A122,[1]!TOX,33,FALSE))*(VLOOKUP(A122,[1]!TOX,12,FALSE)))))</f>
        <v>0.96951263939458387</v>
      </c>
      <c r="J122" s="812">
        <f t="shared" si="32"/>
        <v>14.074772805157989</v>
      </c>
      <c r="K122" s="812">
        <f t="shared" si="33"/>
        <v>0.23781986056977764</v>
      </c>
      <c r="L122" s="815">
        <f t="shared" si="27"/>
        <v>0.18841764846641201</v>
      </c>
      <c r="M122" s="816">
        <f>IF(B122&lt;&gt;0,B122,IF((VLOOKUP(A122,[1]!TOX,44,FALSE))=0,O122,MIN(O122,(VLOOKUP(A122,[1]!TOX,44,FALSE)))))</f>
        <v>5</v>
      </c>
      <c r="N122" s="817" t="str">
        <f t="shared" si="28"/>
        <v>MMCL</v>
      </c>
      <c r="O122" s="818">
        <f t="shared" si="30"/>
        <v>0.18841764846641201</v>
      </c>
      <c r="P122" s="582">
        <f>IF($B122&lt;&gt;0,$B122,MIN(M122,(VLOOKUP(A122,[1]!TOX,79,FALSE))))</f>
        <v>5</v>
      </c>
      <c r="Q122" s="819">
        <f>IF($B122&lt;&gt;0,$B122,MAX($P122,(VLOOKUP(A122,[1]!TOX,40,FALSE)),(VLOOKUP(A122,[1]!TOX,51,FALSE))))</f>
        <v>5</v>
      </c>
      <c r="R122" s="820">
        <f t="shared" si="35"/>
        <v>5</v>
      </c>
      <c r="S122" s="821" t="str">
        <f>IF(Q122=M122,N122,IF(Q122=(VLOOKUP(A122,[1]!TOX,40,FALSE)),"Bckgrnd",IF(Q122=(VLOOKUP(A122,[1]!TOX,79,FALSE)),"Ceiling","PQL")))</f>
        <v>MMCL</v>
      </c>
    </row>
    <row r="123" spans="1:19" s="94" customFormat="1" ht="10" x14ac:dyDescent="0.25">
      <c r="A123" s="619" t="s">
        <v>254</v>
      </c>
      <c r="B123" s="822">
        <v>5</v>
      </c>
      <c r="C123" s="823" t="s">
        <v>341</v>
      </c>
      <c r="D123" s="812">
        <f>IF((VLOOKUP(A123,[1]!TOX,4,FALSE))=0,0,('[1]Target Risk'!$D$8*(VLOOKUP(A123,[1]!TOX,4,FALSE))/('GW-1 Exp'!$J$18*(VLOOKUP(A123,[1]!TOX,31,FALSE)))))</f>
        <v>1.6219436813186816</v>
      </c>
      <c r="E123" s="812">
        <f t="shared" si="34"/>
        <v>13.243361298461933</v>
      </c>
      <c r="F123" s="812">
        <f t="shared" si="31"/>
        <v>0.91905961349366694</v>
      </c>
      <c r="G123" s="813">
        <f t="shared" si="17"/>
        <v>0.56175910787779137</v>
      </c>
      <c r="H123" s="814"/>
      <c r="I123" s="812">
        <f>'GW-1 VC &amp; TCE'!D10</f>
        <v>0.78216992713927302</v>
      </c>
      <c r="J123" s="812">
        <f>'GW-1 VC &amp; TCE'!D20</f>
        <v>5.7492323518961985</v>
      </c>
      <c r="K123" s="812">
        <f>'GW-1 VC &amp; TCE'!D15</f>
        <v>0.60063959823133839</v>
      </c>
      <c r="L123" s="815">
        <f t="shared" si="27"/>
        <v>0.32078808902732225</v>
      </c>
      <c r="M123" s="816">
        <f>IF(B123&lt;&gt;0,B123,IF((VLOOKUP(A123,[1]!TOX,44,FALSE))=0,O123,MIN(O123,(VLOOKUP(A123,[1]!TOX,44,FALSE)))))</f>
        <v>5</v>
      </c>
      <c r="N123" s="817" t="str">
        <f t="shared" si="28"/>
        <v>MMCL</v>
      </c>
      <c r="O123" s="818">
        <f t="shared" si="30"/>
        <v>0.32078808902732225</v>
      </c>
      <c r="P123" s="582">
        <f>IF($B123&lt;&gt;0,$B123,MIN(M123,(VLOOKUP(A123,[1]!TOX,79,FALSE))))</f>
        <v>5</v>
      </c>
      <c r="Q123" s="819">
        <f>IF($B123&lt;&gt;0,$B123,MAX($P123,(VLOOKUP(A123,[1]!TOX,40,FALSE)),(VLOOKUP(A123,[1]!TOX,51,FALSE))))</f>
        <v>5</v>
      </c>
      <c r="R123" s="820">
        <f t="shared" si="35"/>
        <v>5</v>
      </c>
      <c r="S123" s="821" t="str">
        <f>IF(Q123=M123,N123,IF(Q123=(VLOOKUP(A123,[1]!TOX,40,FALSE)),"Bckgrnd",IF(Q123=(VLOOKUP(A123,[1]!TOX,79,FALSE)),"Ceiling","PQL")))</f>
        <v>MMCL</v>
      </c>
    </row>
    <row r="124" spans="1:19" s="94" customFormat="1" ht="10" x14ac:dyDescent="0.25">
      <c r="A124" s="619" t="s">
        <v>255</v>
      </c>
      <c r="B124" s="822"/>
      <c r="C124" s="823"/>
      <c r="D124" s="812">
        <f>IF((VLOOKUP(A124,[1]!TOX,4,FALSE))=0,0,('[1]Target Risk'!$D$8*(VLOOKUP(A124,[1]!TOX,4,FALSE))/('GW-1 Exp'!$J$18*(VLOOKUP(A124,[1]!TOX,31,FALSE)))))</f>
        <v>324.38873626373635</v>
      </c>
      <c r="E124" s="812">
        <f t="shared" si="34"/>
        <v>562.11894574845417</v>
      </c>
      <c r="F124" s="812">
        <f t="shared" si="31"/>
        <v>23485.118117808841</v>
      </c>
      <c r="G124" s="813">
        <f t="shared" si="17"/>
        <v>203.90335602597224</v>
      </c>
      <c r="H124" s="814">
        <f>IF(ISERR(1/(VLOOKUP(A124,[1]!TOX,12,FALSE))),0,'[1]Target Risk'!$D$12/('GW-1 Exp'!$J$26*(VLOOKUP(A124,[1]!TOX,33,FALSE))*(VLOOKUP(A124,[1]!TOX,12,FALSE))))</f>
        <v>0</v>
      </c>
      <c r="I124" s="812">
        <f>IF(ISERR(1/(VLOOKUP(A124,[1]!TOX,12,FALSE))),0,IF(VLOOKUP(A124,[1]!TOX,36,FALSE)="M",'[1]Target Risk'!$D$12/(((('GW-1 Exp'!$J$33*(VLOOKUP(A124,[1]!TOX,33,FALSE))*(VLOOKUP(A124,[1]!TOX,12,FALSE))))*10)+((('GW-1 Exp'!$J$34*(VLOOKUP(A124,[1]!TOX,33,FALSE))*(VLOOKUP(A124,[1]!TOX,12,FALSE))))*3)+((('GW-1 Exp'!$J$35*(VLOOKUP(A124,[1]!TOX,33,FALSE))*(VLOOKUP(A124,[1]!TOX,12,FALSE))))*3)+((('GW-1 Exp'!$J$36*(VLOOKUP(A124,[1]!TOX,33,FALSE))*(VLOOKUP(A124,[1]!TOX,12,FALSE))))*1)),'[1]Target Risk'!$D$12/('GW-1 Exp'!$J$26*(VLOOKUP(A124,[1]!TOX,33,FALSE))*(VLOOKUP(A124,[1]!TOX,12,FALSE)))))</f>
        <v>0</v>
      </c>
      <c r="J124" s="812">
        <f t="shared" si="32"/>
        <v>0</v>
      </c>
      <c r="K124" s="812">
        <f t="shared" si="33"/>
        <v>0</v>
      </c>
      <c r="L124" s="815">
        <f t="shared" si="27"/>
        <v>0</v>
      </c>
      <c r="M124" s="816">
        <f>IF(B124&lt;&gt;0,B124,IF((VLOOKUP(A124,[1]!TOX,44,FALSE))=0,O124,MIN(O124,(VLOOKUP(A124,[1]!TOX,44,FALSE)))))</f>
        <v>200</v>
      </c>
      <c r="N124" s="817" t="str">
        <f t="shared" si="28"/>
        <v>Odor</v>
      </c>
      <c r="O124" s="818">
        <f t="shared" si="30"/>
        <v>203.90335602597224</v>
      </c>
      <c r="P124" s="582">
        <f>IF($B124&lt;&gt;0,$B124,MIN(M124,(VLOOKUP(A124,[1]!TOX,79,FALSE))))</f>
        <v>200</v>
      </c>
      <c r="Q124" s="819">
        <f>IF($B124&lt;&gt;0,$B124,MAX($P124,(VLOOKUP(A124,[1]!TOX,40,FALSE)),(VLOOKUP(A124,[1]!TOX,51,FALSE))))</f>
        <v>200</v>
      </c>
      <c r="R124" s="820">
        <f t="shared" si="35"/>
        <v>200</v>
      </c>
      <c r="S124" s="821" t="str">
        <f>IF(Q124=M124,N124,IF(Q124=(VLOOKUP(A124,[1]!TOX,40,FALSE)),"Bckgrnd",IF(Q124=(VLOOKUP(A124,[1]!TOX,79,FALSE)),"Ceiling","PQL")))</f>
        <v>Odor</v>
      </c>
    </row>
    <row r="125" spans="1:19" s="94" customFormat="1" ht="10" x14ac:dyDescent="0.25">
      <c r="A125" s="619" t="s">
        <v>256</v>
      </c>
      <c r="B125" s="822"/>
      <c r="C125" s="823"/>
      <c r="D125" s="812">
        <f>IF((VLOOKUP(A125,[1]!TOX,4,FALSE))=0,0,('[1]Target Risk'!$D$8*(VLOOKUP(A125,[1]!TOX,4,FALSE))/('GW-1 Exp'!$J$18*(VLOOKUP(A125,[1]!TOX,31,FALSE)))))</f>
        <v>3.2438873626373632</v>
      </c>
      <c r="E125" s="812">
        <f t="shared" si="34"/>
        <v>5.8833979261033473</v>
      </c>
      <c r="F125" s="812">
        <f t="shared" si="31"/>
        <v>168.02237735698739</v>
      </c>
      <c r="G125" s="813">
        <f t="shared" si="17"/>
        <v>2.0652900006946235</v>
      </c>
      <c r="H125" s="814">
        <f>IF(ISERR(1/(VLOOKUP(A125,[1]!TOX,12,FALSE))),0,'[1]Target Risk'!$D$12/('GW-1 Exp'!$J$26*(VLOOKUP(A125,[1]!TOX,33,FALSE))*(VLOOKUP(A125,[1]!TOX,12,FALSE))))</f>
        <v>5.0238382223173899</v>
      </c>
      <c r="I125" s="812">
        <f>IF(ISERR(1/(VLOOKUP(A125,[1]!TOX,12,FALSE))),0,IF(VLOOKUP(A125,[1]!TOX,36,FALSE)="M",'[1]Target Risk'!$D$12/(((('GW-1 Exp'!$J$33*(VLOOKUP(A125,[1]!TOX,33,FALSE))*(VLOOKUP(A125,[1]!TOX,12,FALSE))))*10)+((('GW-1 Exp'!$J$34*(VLOOKUP(A125,[1]!TOX,33,FALSE))*(VLOOKUP(A125,[1]!TOX,12,FALSE))))*3)+((('GW-1 Exp'!$J$35*(VLOOKUP(A125,[1]!TOX,33,FALSE))*(VLOOKUP(A125,[1]!TOX,12,FALSE))))*3)+((('GW-1 Exp'!$J$36*(VLOOKUP(A125,[1]!TOX,33,FALSE))*(VLOOKUP(A125,[1]!TOX,12,FALSE))))*1)),'[1]Target Risk'!$D$12/('GW-1 Exp'!$J$26*(VLOOKUP(A125,[1]!TOX,33,FALSE))*(VLOOKUP(A125,[1]!TOX,12,FALSE)))))</f>
        <v>5.0238382223173899</v>
      </c>
      <c r="J125" s="812">
        <f t="shared" si="32"/>
        <v>7.1469964061460391</v>
      </c>
      <c r="K125" s="812">
        <f t="shared" si="33"/>
        <v>92.214417770656198</v>
      </c>
      <c r="L125" s="815">
        <f t="shared" si="27"/>
        <v>2.8586603626320635</v>
      </c>
      <c r="M125" s="816">
        <f>IF(B125&lt;&gt;0,B125,IF((VLOOKUP(A125,[1]!TOX,44,FALSE))=0,O125,MIN(O125,(VLOOKUP(A125,[1]!TOX,44,FALSE)))))</f>
        <v>2.0652900006946235</v>
      </c>
      <c r="N125" s="817" t="str">
        <f t="shared" si="28"/>
        <v>Noncancer</v>
      </c>
      <c r="O125" s="818">
        <f t="shared" si="30"/>
        <v>2.0652900006946235</v>
      </c>
      <c r="P125" s="582">
        <f>IF($B125&lt;&gt;0,$B125,MIN(M125,(VLOOKUP(A125,[1]!TOX,79,FALSE))))</f>
        <v>2.0652900006946235</v>
      </c>
      <c r="Q125" s="819">
        <f>IF($B125&lt;&gt;0,$B125,MAX($P125,(VLOOKUP(A125,[1]!TOX,40,FALSE)),(VLOOKUP(A125,[1]!TOX,51,FALSE))))</f>
        <v>10</v>
      </c>
      <c r="R125" s="820">
        <f t="shared" si="35"/>
        <v>10</v>
      </c>
      <c r="S125" s="821" t="str">
        <f>IF(Q125=M125,N125,IF(Q125=(VLOOKUP(A125,[1]!TOX,40,FALSE)),"Bckgrnd",IF(Q125=(VLOOKUP(A125,[1]!TOX,79,FALSE)),"Ceiling","PQL")))</f>
        <v>PQL</v>
      </c>
    </row>
    <row r="126" spans="1:19" s="94" customFormat="1" ht="10" x14ac:dyDescent="0.25">
      <c r="A126" s="619" t="s">
        <v>257</v>
      </c>
      <c r="B126" s="822"/>
      <c r="C126" s="823"/>
      <c r="D126" s="812">
        <f>IF((VLOOKUP(A126,[1]!TOX,4,FALSE))=0,0,('[1]Target Risk'!$D$8*(VLOOKUP(A126,[1]!TOX,4,FALSE))/('GW-1 Exp'!$J$18*(VLOOKUP(A126,[1]!TOX,31,FALSE)))))</f>
        <v>29.194986263736265</v>
      </c>
      <c r="E126" s="812">
        <f t="shared" si="34"/>
        <v>373.78405211684515</v>
      </c>
      <c r="F126" s="812">
        <f t="shared" si="31"/>
        <v>0</v>
      </c>
      <c r="G126" s="813">
        <f t="shared" si="17"/>
        <v>27.079870732256001</v>
      </c>
      <c r="H126" s="814">
        <f>IF(ISERR(1/(VLOOKUP(A126,[1]!TOX,12,FALSE))),0,'[1]Target Risk'!$D$12/('GW-1 Exp'!$J$26*(VLOOKUP(A126,[1]!TOX,33,FALSE))*(VLOOKUP(A126,[1]!TOX,12,FALSE))))</f>
        <v>0</v>
      </c>
      <c r="I126" s="812">
        <f>IF(ISERR(1/(VLOOKUP(A126,[1]!TOX,12,FALSE))),0,IF(VLOOKUP(A126,[1]!TOX,36,FALSE)="M",'[1]Target Risk'!$D$12/(((('GW-1 Exp'!$J$33*(VLOOKUP(A126,[1]!TOX,33,FALSE))*(VLOOKUP(A126,[1]!TOX,12,FALSE))))*10)+((('GW-1 Exp'!$J$34*(VLOOKUP(A126,[1]!TOX,33,FALSE))*(VLOOKUP(A126,[1]!TOX,12,FALSE))))*3)+((('GW-1 Exp'!$J$35*(VLOOKUP(A126,[1]!TOX,33,FALSE))*(VLOOKUP(A126,[1]!TOX,12,FALSE))))*3)+((('GW-1 Exp'!$J$36*(VLOOKUP(A126,[1]!TOX,33,FALSE))*(VLOOKUP(A126,[1]!TOX,12,FALSE))))*1)),'[1]Target Risk'!$D$12/('GW-1 Exp'!$J$26*(VLOOKUP(A126,[1]!TOX,33,FALSE))*(VLOOKUP(A126,[1]!TOX,12,FALSE)))))</f>
        <v>0</v>
      </c>
      <c r="J126" s="812">
        <f t="shared" si="32"/>
        <v>0</v>
      </c>
      <c r="K126" s="812">
        <f t="shared" si="33"/>
        <v>0</v>
      </c>
      <c r="L126" s="815">
        <f t="shared" si="27"/>
        <v>0</v>
      </c>
      <c r="M126" s="816">
        <f>IF(B126&lt;&gt;0,B126,IF((VLOOKUP(A126,[1]!TOX,44,FALSE))=0,O126,MIN(O126,(VLOOKUP(A126,[1]!TOX,44,FALSE)))))</f>
        <v>27.079870732256001</v>
      </c>
      <c r="N126" s="817" t="str">
        <f t="shared" si="28"/>
        <v>Noncancer</v>
      </c>
      <c r="O126" s="818">
        <f t="shared" si="30"/>
        <v>27.079870732256001</v>
      </c>
      <c r="P126" s="582">
        <f>IF($B126&lt;&gt;0,$B126,MIN(M126,(VLOOKUP(A126,[1]!TOX,79,FALSE))))</f>
        <v>27.079870732256001</v>
      </c>
      <c r="Q126" s="819">
        <f>IF($B126&lt;&gt;0,$B126,MAX($P126,(VLOOKUP(A126,[1]!TOX,40,FALSE)),(VLOOKUP(A126,[1]!TOX,51,FALSE))))</f>
        <v>27.079870732256001</v>
      </c>
      <c r="R126" s="820">
        <f t="shared" si="35"/>
        <v>30</v>
      </c>
      <c r="S126" s="821" t="str">
        <f>IF(Q126=M126,N126,IF(Q126=(VLOOKUP(A126,[1]!TOX,40,FALSE)),"Bckgrnd",IF(Q126=(VLOOKUP(A126,[1]!TOX,79,FALSE)),"Ceiling","PQL")))</f>
        <v>Noncancer</v>
      </c>
    </row>
    <row r="127" spans="1:19" s="94" customFormat="1" ht="10" x14ac:dyDescent="0.25">
      <c r="A127" s="619" t="s">
        <v>258</v>
      </c>
      <c r="B127" s="822">
        <v>2</v>
      </c>
      <c r="C127" s="823" t="s">
        <v>341</v>
      </c>
      <c r="D127" s="812">
        <f>IF((VLOOKUP(A127,[1]!TOX,4,FALSE))=0,0,('[1]Target Risk'!$D$8*(VLOOKUP(A127,[1]!TOX,4,FALSE))/('GW-1 Exp'!$J$18*(VLOOKUP(A127,[1]!TOX,31,FALSE)))))</f>
        <v>9.7316620879120901</v>
      </c>
      <c r="E127" s="812">
        <f t="shared" si="34"/>
        <v>164.93705847096865</v>
      </c>
      <c r="F127" s="812">
        <f t="shared" si="31"/>
        <v>34.868966528635319</v>
      </c>
      <c r="G127" s="813">
        <f t="shared" si="17"/>
        <v>7.2727756545205633</v>
      </c>
      <c r="H127" s="814">
        <f>IF(ISERR(1/(VLOOKUP(A127,[1]!TOX,12,FALSE))),0,'[1]Target Risk'!$D$12/('GW-1 Exp'!$J$26*(VLOOKUP(A127,[1]!TOX,33,FALSE))*(VLOOKUP(A127,[1]!TOX,12,FALSE))))</f>
        <v>7.6753083952071227E-2</v>
      </c>
      <c r="I127" s="812">
        <f>'GW-1 VC &amp; TCE'!B30</f>
        <v>1.154641175901608E-2</v>
      </c>
      <c r="J127" s="812">
        <f>'GW-1 VC &amp; TCE'!B41</f>
        <v>8.2302142691839067E-2</v>
      </c>
      <c r="K127" s="812">
        <f>'GW-1 VC &amp; TCE'!B36</f>
        <v>0.25405926619734076</v>
      </c>
      <c r="L127" s="815">
        <f t="shared" si="27"/>
        <v>9.7377208947078912E-3</v>
      </c>
      <c r="M127" s="816">
        <f>IF(B127&lt;&gt;0,B127,IF((VLOOKUP(A127,[1]!TOX,44,FALSE))=0,O127,MIN(O127,(VLOOKUP(A127,[1]!TOX,44,FALSE)))))</f>
        <v>2</v>
      </c>
      <c r="N127" s="817" t="str">
        <f t="shared" si="28"/>
        <v>MMCL</v>
      </c>
      <c r="O127" s="818">
        <f t="shared" si="30"/>
        <v>9.7377208947078912E-3</v>
      </c>
      <c r="P127" s="582">
        <f>IF($B127&lt;&gt;0,$B127,MIN(M127,(VLOOKUP(A127,[1]!TOX,79,FALSE))))</f>
        <v>2</v>
      </c>
      <c r="Q127" s="819">
        <f>IF($B127&lt;&gt;0,$B127,MAX($P127,(VLOOKUP(A127,[1]!TOX,40,FALSE)),(VLOOKUP(A127,[1]!TOX,51,FALSE))))</f>
        <v>2</v>
      </c>
      <c r="R127" s="820">
        <f t="shared" si="35"/>
        <v>2</v>
      </c>
      <c r="S127" s="821" t="str">
        <f>IF(Q127=M127,N127,IF(Q127=(VLOOKUP(A127,[1]!TOX,40,FALSE)),"Bckgrnd",IF(Q127=(VLOOKUP(A127,[1]!TOX,79,FALSE)),"Ceiling","PQL")))</f>
        <v>MMCL</v>
      </c>
    </row>
    <row r="128" spans="1:19" s="94" customFormat="1" ht="10" x14ac:dyDescent="0.25">
      <c r="A128" s="619" t="s">
        <v>286</v>
      </c>
      <c r="B128" s="822">
        <v>10000</v>
      </c>
      <c r="C128" s="823" t="s">
        <v>341</v>
      </c>
      <c r="D128" s="812">
        <f>IF((VLOOKUP(A128,[1]!TOX,4,FALSE))=0,0,('[1]Target Risk'!$D$8*(VLOOKUP(A128,[1]!TOX,4,FALSE))/('GW-1 Exp'!$J$18*(VLOOKUP(A128,[1]!TOX,31,FALSE)))))</f>
        <v>648.7774725274727</v>
      </c>
      <c r="E128" s="812">
        <f t="shared" si="34"/>
        <v>1464.394937180215</v>
      </c>
      <c r="F128" s="812">
        <f t="shared" si="31"/>
        <v>42.800339488748165</v>
      </c>
      <c r="G128" s="813">
        <f t="shared" si="17"/>
        <v>39.079998838952832</v>
      </c>
      <c r="H128" s="814">
        <f>IF(ISERR(1/(VLOOKUP(A128,[1]!TOX,12,FALSE))),0,'[1]Target Risk'!$D$12/('GW-1 Exp'!$J$26*(VLOOKUP(A128,[1]!TOX,33,FALSE))*(VLOOKUP(A128,[1]!TOX,12,FALSE))))</f>
        <v>0</v>
      </c>
      <c r="I128" s="812">
        <f>IF(ISERR(1/(VLOOKUP(A128,[1]!TOX,12,FALSE))),0,IF(VLOOKUP(A128,[1]!TOX,36,FALSE)="M",'[1]Target Risk'!$D$12/(((('GW-1 Exp'!$J$33*(VLOOKUP(A128,[1]!TOX,33,FALSE))*(VLOOKUP(A128,[1]!TOX,12,FALSE))))*10)+((('GW-1 Exp'!$J$34*(VLOOKUP(A128,[1]!TOX,33,FALSE))*(VLOOKUP(A128,[1]!TOX,12,FALSE))))*3)+((('GW-1 Exp'!$J$35*(VLOOKUP(A128,[1]!TOX,33,FALSE))*(VLOOKUP(A128,[1]!TOX,12,FALSE))))*3)+((('GW-1 Exp'!$J$36*(VLOOKUP(A128,[1]!TOX,33,FALSE))*(VLOOKUP(A128,[1]!TOX,12,FALSE))))*1)),'[1]Target Risk'!$D$12/('GW-1 Exp'!$J$26*(VLOOKUP(A128,[1]!TOX,33,FALSE))*(VLOOKUP(A128,[1]!TOX,12,FALSE)))))</f>
        <v>0</v>
      </c>
      <c r="J128" s="812">
        <f t="shared" si="32"/>
        <v>0</v>
      </c>
      <c r="K128" s="812">
        <f t="shared" si="33"/>
        <v>0</v>
      </c>
      <c r="L128" s="815">
        <f t="shared" si="27"/>
        <v>0</v>
      </c>
      <c r="M128" s="816">
        <f>IF(B128&lt;&gt;0,B128,IF((VLOOKUP(A128,[1]!TOX,44,FALSE))=0,O128,MIN(O128,(VLOOKUP(A128,[1]!TOX,44,FALSE)))))</f>
        <v>10000</v>
      </c>
      <c r="N128" s="817" t="str">
        <f t="shared" si="28"/>
        <v>MMCL</v>
      </c>
      <c r="O128" s="818">
        <f t="shared" si="30"/>
        <v>39.079998838952832</v>
      </c>
      <c r="P128" s="582">
        <f>IF($B128&lt;&gt;0,$B128,MIN(M128,(VLOOKUP(A128,[1]!TOX,79,FALSE))))</f>
        <v>10000</v>
      </c>
      <c r="Q128" s="819">
        <f>IF($B128&lt;&gt;0,$B128,MAX($P128,(VLOOKUP(A128,[1]!TOX,40,FALSE)),(VLOOKUP(A128,[1]!TOX,51,FALSE))))</f>
        <v>10000</v>
      </c>
      <c r="R128" s="820">
        <f t="shared" si="35"/>
        <v>10000</v>
      </c>
      <c r="S128" s="821" t="str">
        <f>IF(Q128=M128,N128,IF(Q128=(VLOOKUP(A128,[1]!TOX,40,FALSE)),"Bckgrnd",IF(Q128=(VLOOKUP(A128,[1]!TOX,79,FALSE)),"Ceiling","PQL")))</f>
        <v>MMCL</v>
      </c>
    </row>
    <row r="129" spans="1:19" s="94" customFormat="1" ht="10.5" thickBot="1" x14ac:dyDescent="0.3">
      <c r="A129" s="622" t="s">
        <v>259</v>
      </c>
      <c r="B129" s="825">
        <v>5000</v>
      </c>
      <c r="C129" s="826" t="s">
        <v>13</v>
      </c>
      <c r="D129" s="827">
        <f>IF((VLOOKUP(A129,[1]!TOX,4,FALSE))=0,0,('[1]Target Risk'!$D$8*(VLOOKUP(A129,[1]!TOX,4,FALSE))/('GW-1 Exp'!$J$18*(VLOOKUP(A129,[1]!TOX,31,FALSE)))))</f>
        <v>973.16620879120887</v>
      </c>
      <c r="E129" s="827">
        <f t="shared" si="34"/>
        <v>191045.18219305421</v>
      </c>
      <c r="F129" s="827">
        <f t="shared" si="31"/>
        <v>0</v>
      </c>
      <c r="G129" s="828">
        <f t="shared" si="17"/>
        <v>968.23411517715965</v>
      </c>
      <c r="H129" s="829">
        <f>IF(ISERR(1/(VLOOKUP(A129,[1]!TOX,12,FALSE))),0,'[1]Target Risk'!$D$12/('GW-1 Exp'!$J$26*(VLOOKUP(A129,[1]!TOX,33,FALSE))*(VLOOKUP(A129,[1]!TOX,12,FALSE))))</f>
        <v>0</v>
      </c>
      <c r="I129" s="827">
        <f>IF(ISERR(1/(VLOOKUP(A129,[1]!TOX,12,FALSE))),0,IF(VLOOKUP(A129,[1]!TOX,36,FALSE)="M",'[1]Target Risk'!$D$12/(((('GW-1 Exp'!$J$33*(VLOOKUP(A129,[1]!TOX,33,FALSE))*(VLOOKUP(A129,[1]!TOX,12,FALSE))))*10)+((('GW-1 Exp'!$J$34*(VLOOKUP(A129,[1]!TOX,33,FALSE))*(VLOOKUP(A129,[1]!TOX,12,FALSE))))*3)+((('GW-1 Exp'!$J$35*(VLOOKUP(A129,[1]!TOX,33,FALSE))*(VLOOKUP(A129,[1]!TOX,12,FALSE))))*3)+((('GW-1 Exp'!$J$36*(VLOOKUP(A129,[1]!TOX,33,FALSE))*(VLOOKUP(A129,[1]!TOX,12,FALSE))))*1)),'[1]Target Risk'!$D$12/('GW-1 Exp'!$J$26*(VLOOKUP(A129,[1]!TOX,33,FALSE))*(VLOOKUP(A129,[1]!TOX,12,FALSE)))))</f>
        <v>0</v>
      </c>
      <c r="J129" s="827">
        <f t="shared" si="32"/>
        <v>0</v>
      </c>
      <c r="K129" s="827">
        <f t="shared" si="33"/>
        <v>0</v>
      </c>
      <c r="L129" s="830">
        <f t="shared" si="27"/>
        <v>0</v>
      </c>
      <c r="M129" s="831">
        <f>IF(B129&lt;&gt;0,B129,IF((VLOOKUP(A129,[1]!TOX,44,FALSE))=0,O129,MIN(O129,(VLOOKUP(A129,[1]!TOX,44,FALSE)))))</f>
        <v>5000</v>
      </c>
      <c r="N129" s="832" t="str">
        <f t="shared" si="28"/>
        <v>SMCL</v>
      </c>
      <c r="O129" s="833">
        <f t="shared" si="30"/>
        <v>968.23411517715965</v>
      </c>
      <c r="P129" s="583">
        <f>IF($B129&lt;&gt;0,$B129,MIN(M129,(VLOOKUP(A129,[1]!TOX,79,FALSE))))</f>
        <v>5000</v>
      </c>
      <c r="Q129" s="834">
        <f>IF($B129&lt;&gt;0,$B129,MAX($P129,(VLOOKUP(A129,[1]!TOX,40,FALSE)),(VLOOKUP(A129,[1]!TOX,51,FALSE))))</f>
        <v>5000</v>
      </c>
      <c r="R129" s="835">
        <f t="shared" si="35"/>
        <v>5000</v>
      </c>
      <c r="S129" s="836" t="str">
        <f>IF(Q129=M129,N129,IF(Q129=(VLOOKUP(A129,[1]!TOX,40,FALSE)),"Bckgrnd",IF(Q129=(VLOOKUP(A129,[1]!TOX,79,FALSE)),"Ceiling","PQL")))</f>
        <v>SMCL</v>
      </c>
    </row>
    <row r="130" spans="1:19" ht="13" thickTop="1" x14ac:dyDescent="0.25">
      <c r="A130" s="65"/>
    </row>
    <row r="133" spans="1:19" x14ac:dyDescent="0.25">
      <c r="A133" s="66"/>
    </row>
    <row r="134" spans="1:19" x14ac:dyDescent="0.25">
      <c r="B134" s="67"/>
    </row>
    <row r="135" spans="1:19" x14ac:dyDescent="0.25">
      <c r="B135" s="67"/>
    </row>
    <row r="136" spans="1:19" x14ac:dyDescent="0.25">
      <c r="B136" s="67"/>
    </row>
    <row r="137" spans="1:19" x14ac:dyDescent="0.25">
      <c r="B137" s="67"/>
    </row>
    <row r="138" spans="1:19" x14ac:dyDescent="0.25">
      <c r="B138" s="67"/>
    </row>
    <row r="139" spans="1:19" x14ac:dyDescent="0.25">
      <c r="B139" s="67"/>
    </row>
    <row r="140" spans="1:19" x14ac:dyDescent="0.25">
      <c r="B140" s="67"/>
    </row>
    <row r="141" spans="1:19" x14ac:dyDescent="0.25">
      <c r="B141" s="67"/>
    </row>
    <row r="142" spans="1:19" x14ac:dyDescent="0.25">
      <c r="B142" s="67"/>
    </row>
    <row r="143" spans="1:19" x14ac:dyDescent="0.25">
      <c r="B143" s="67"/>
    </row>
    <row r="144" spans="1:19" x14ac:dyDescent="0.25">
      <c r="B144" s="67"/>
    </row>
    <row r="145" spans="2:2" x14ac:dyDescent="0.25">
      <c r="B145" s="67"/>
    </row>
    <row r="146" spans="2:2" x14ac:dyDescent="0.25">
      <c r="B146" s="67"/>
    </row>
    <row r="147" spans="2:2" x14ac:dyDescent="0.25">
      <c r="B147" s="67"/>
    </row>
    <row r="148" spans="2:2" x14ac:dyDescent="0.25">
      <c r="B148" s="67"/>
    </row>
    <row r="149" spans="2:2" x14ac:dyDescent="0.25">
      <c r="B149" s="67"/>
    </row>
    <row r="150" spans="2:2" x14ac:dyDescent="0.25">
      <c r="B150" s="67"/>
    </row>
    <row r="151" spans="2:2" x14ac:dyDescent="0.25">
      <c r="B151" s="67"/>
    </row>
  </sheetData>
  <sheetProtection sheet="1" objects="1" scenarios="1"/>
  <mergeCells count="13">
    <mergeCell ref="D1:L1"/>
    <mergeCell ref="I3:L3"/>
    <mergeCell ref="Q2:Q4"/>
    <mergeCell ref="R3:S3"/>
    <mergeCell ref="R2:S2"/>
    <mergeCell ref="R4:S4"/>
    <mergeCell ref="B5:C5"/>
    <mergeCell ref="I4:L4"/>
    <mergeCell ref="M2:N4"/>
    <mergeCell ref="P2:P4"/>
    <mergeCell ref="D2:G2"/>
    <mergeCell ref="I2:L2"/>
    <mergeCell ref="D3:G3"/>
  </mergeCells>
  <phoneticPr fontId="0" type="noConversion"/>
  <pageMargins left="0.5" right="0.5" top="0.75" bottom="1" header="0.5" footer="0.5"/>
  <pageSetup scale="9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F77"/>
  <sheetViews>
    <sheetView showGridLines="0" zoomScaleNormal="100" workbookViewId="0">
      <selection activeCell="A2" sqref="A2"/>
    </sheetView>
  </sheetViews>
  <sheetFormatPr defaultColWidth="9" defaultRowHeight="12.5" x14ac:dyDescent="0.25"/>
  <cols>
    <col min="1" max="1" width="21.75" style="1" customWidth="1"/>
    <col min="2" max="2" width="10.33203125" style="1" bestFit="1" customWidth="1"/>
    <col min="3" max="3" width="12.9140625" style="1" customWidth="1"/>
    <col min="4" max="4" width="8.75" style="1" bestFit="1" customWidth="1"/>
    <col min="5" max="5" width="9.25" style="1" bestFit="1" customWidth="1"/>
    <col min="6" max="6" width="11.25" style="1" bestFit="1" customWidth="1"/>
    <col min="7" max="7" width="8.25" style="1" bestFit="1" customWidth="1"/>
    <col min="8" max="8" width="8.9140625" style="1" bestFit="1" customWidth="1"/>
    <col min="9" max="9" width="10.75" style="1" bestFit="1" customWidth="1"/>
    <col min="10" max="11" width="15" style="1" bestFit="1" customWidth="1"/>
    <col min="12" max="12" width="18.75" style="1" customWidth="1"/>
    <col min="13" max="14" width="10.33203125" style="1" bestFit="1" customWidth="1"/>
    <col min="15" max="15" width="9.9140625" style="1" bestFit="1" customWidth="1"/>
    <col min="16" max="16" width="8.75" style="1" bestFit="1" customWidth="1"/>
    <col min="17" max="17" width="8.25" style="1" bestFit="1" customWidth="1"/>
    <col min="18" max="18" width="8.6640625" style="1" bestFit="1" customWidth="1"/>
    <col min="19" max="19" width="8.4140625" style="1" bestFit="1" customWidth="1"/>
    <col min="20" max="20" width="10.08203125" style="1" bestFit="1" customWidth="1"/>
    <col min="21" max="21" width="14.75" style="1" bestFit="1" customWidth="1"/>
    <col min="22" max="22" width="16.25" style="1" bestFit="1" customWidth="1"/>
    <col min="23" max="23" width="15.6640625" style="1" customWidth="1"/>
    <col min="24" max="24" width="9.25" style="1" bestFit="1" customWidth="1"/>
    <col min="25" max="25" width="7.9140625" style="1" bestFit="1" customWidth="1"/>
    <col min="26" max="26" width="8" style="1" bestFit="1" customWidth="1"/>
    <col min="27" max="28" width="8.4140625" style="1" bestFit="1" customWidth="1"/>
    <col min="29" max="29" width="8" style="1" customWidth="1"/>
    <col min="30" max="16384" width="9" style="1"/>
  </cols>
  <sheetData>
    <row r="1" spans="1:22" ht="14" x14ac:dyDescent="0.3">
      <c r="A1" s="38" t="s">
        <v>319</v>
      </c>
    </row>
    <row r="3" spans="1:22" s="105" customFormat="1" ht="11.5" x14ac:dyDescent="0.25">
      <c r="A3" s="104" t="s">
        <v>329</v>
      </c>
    </row>
    <row r="4" spans="1:22" s="105" customFormat="1" ht="11.5" x14ac:dyDescent="0.25">
      <c r="A4" s="104" t="s">
        <v>332</v>
      </c>
      <c r="L4" s="106" t="s">
        <v>70</v>
      </c>
      <c r="M4" s="106"/>
      <c r="N4" s="106"/>
      <c r="O4" s="106"/>
      <c r="P4" s="106"/>
    </row>
    <row r="5" spans="1:22" s="105" customFormat="1" ht="11.5" x14ac:dyDescent="0.25">
      <c r="A5" s="104" t="s">
        <v>961</v>
      </c>
      <c r="L5" s="107"/>
      <c r="M5" s="107"/>
      <c r="N5" s="107"/>
      <c r="O5" s="108" t="s">
        <v>66</v>
      </c>
      <c r="P5" s="107"/>
      <c r="Q5" s="107"/>
      <c r="R5" s="107"/>
      <c r="S5" s="107"/>
      <c r="T5" s="107"/>
      <c r="U5" s="108"/>
      <c r="V5" s="108"/>
    </row>
    <row r="6" spans="1:22" s="105" customFormat="1" ht="11.5" x14ac:dyDescent="0.25">
      <c r="A6" s="104"/>
      <c r="L6" s="107"/>
      <c r="M6" s="108" t="s">
        <v>288</v>
      </c>
      <c r="N6" s="108" t="s">
        <v>66</v>
      </c>
      <c r="O6" s="108" t="s">
        <v>67</v>
      </c>
      <c r="P6" s="109" t="s">
        <v>289</v>
      </c>
      <c r="Q6" s="109"/>
      <c r="R6" s="108" t="s">
        <v>289</v>
      </c>
      <c r="S6" s="108" t="s">
        <v>290</v>
      </c>
      <c r="T6" s="107" t="s">
        <v>276</v>
      </c>
      <c r="U6" s="108" t="s">
        <v>71</v>
      </c>
      <c r="V6" s="108" t="s">
        <v>321</v>
      </c>
    </row>
    <row r="7" spans="1:22" s="105" customFormat="1" ht="11.5" x14ac:dyDescent="0.25">
      <c r="A7" s="104"/>
      <c r="L7" s="106"/>
      <c r="M7" s="108" t="s">
        <v>291</v>
      </c>
      <c r="N7" s="108" t="s">
        <v>72</v>
      </c>
      <c r="O7" s="108" t="s">
        <v>68</v>
      </c>
      <c r="P7" s="109" t="s">
        <v>293</v>
      </c>
      <c r="Q7" s="109"/>
      <c r="R7" s="108" t="s">
        <v>294</v>
      </c>
      <c r="S7" s="108" t="s">
        <v>294</v>
      </c>
      <c r="T7" s="107" t="s">
        <v>295</v>
      </c>
      <c r="U7" s="108" t="s">
        <v>394</v>
      </c>
      <c r="V7" s="108" t="s">
        <v>73</v>
      </c>
    </row>
    <row r="8" spans="1:22" s="105" customFormat="1" ht="11.5" x14ac:dyDescent="0.25">
      <c r="A8" s="104"/>
      <c r="L8" s="106"/>
      <c r="M8" s="108" t="s">
        <v>296</v>
      </c>
      <c r="N8" s="108" t="s">
        <v>74</v>
      </c>
      <c r="O8" s="108"/>
      <c r="P8" s="108" t="s">
        <v>297</v>
      </c>
      <c r="Q8" s="108" t="s">
        <v>298</v>
      </c>
      <c r="R8" s="108" t="s">
        <v>299</v>
      </c>
      <c r="S8" s="108" t="s">
        <v>300</v>
      </c>
      <c r="T8" s="108" t="s">
        <v>301</v>
      </c>
      <c r="U8" s="108" t="s">
        <v>982</v>
      </c>
      <c r="V8" s="108" t="s">
        <v>448</v>
      </c>
    </row>
    <row r="9" spans="1:22" s="105" customFormat="1" ht="11.5" x14ac:dyDescent="0.25">
      <c r="A9" s="106" t="s">
        <v>111</v>
      </c>
      <c r="B9" s="106"/>
      <c r="L9" s="110"/>
      <c r="M9" s="111" t="s">
        <v>303</v>
      </c>
      <c r="N9" s="111" t="s">
        <v>75</v>
      </c>
      <c r="O9" s="111" t="s">
        <v>69</v>
      </c>
      <c r="P9" s="111" t="s">
        <v>76</v>
      </c>
      <c r="Q9" s="111" t="s">
        <v>307</v>
      </c>
      <c r="R9" s="111" t="s">
        <v>306</v>
      </c>
      <c r="S9" s="111" t="s">
        <v>306</v>
      </c>
      <c r="T9" s="111" t="s">
        <v>338</v>
      </c>
      <c r="U9" s="111" t="s">
        <v>77</v>
      </c>
      <c r="V9" s="111" t="s">
        <v>78</v>
      </c>
    </row>
    <row r="10" spans="1:22" s="105" customFormat="1" ht="11.5" x14ac:dyDescent="0.25">
      <c r="A10" s="107"/>
      <c r="B10" s="107"/>
      <c r="C10" s="107"/>
      <c r="D10" s="107"/>
      <c r="E10" s="107"/>
      <c r="F10" s="107"/>
      <c r="G10" s="107"/>
      <c r="H10" s="107"/>
      <c r="I10" s="107"/>
      <c r="J10" s="108" t="s">
        <v>321</v>
      </c>
      <c r="L10" s="112" t="s">
        <v>308</v>
      </c>
      <c r="M10" s="113"/>
      <c r="N10" s="114"/>
      <c r="O10" s="114"/>
      <c r="P10" s="114"/>
      <c r="Q10" s="114"/>
      <c r="R10" s="114"/>
      <c r="S10" s="114"/>
      <c r="T10" s="114"/>
      <c r="U10" s="115"/>
      <c r="V10" s="116"/>
    </row>
    <row r="11" spans="1:22" s="105" customFormat="1" ht="11.5" x14ac:dyDescent="0.25">
      <c r="A11" s="107"/>
      <c r="B11" s="108" t="s">
        <v>288</v>
      </c>
      <c r="C11" s="108" t="s">
        <v>321</v>
      </c>
      <c r="D11" s="109" t="s">
        <v>289</v>
      </c>
      <c r="E11" s="109"/>
      <c r="F11" s="108" t="s">
        <v>289</v>
      </c>
      <c r="G11" s="108" t="s">
        <v>290</v>
      </c>
      <c r="H11" s="107" t="s">
        <v>276</v>
      </c>
      <c r="I11" s="108" t="s">
        <v>276</v>
      </c>
      <c r="J11" s="108" t="s">
        <v>441</v>
      </c>
      <c r="K11" s="12"/>
      <c r="L11" s="117"/>
      <c r="M11" s="108"/>
      <c r="N11" s="107"/>
      <c r="O11" s="107"/>
      <c r="P11" s="107"/>
      <c r="Q11" s="107"/>
      <c r="R11" s="107"/>
      <c r="S11" s="107"/>
      <c r="T11" s="107"/>
      <c r="U11" s="118"/>
      <c r="V11" s="119"/>
    </row>
    <row r="12" spans="1:22" s="105" customFormat="1" ht="11.5" x14ac:dyDescent="0.25">
      <c r="A12" s="106"/>
      <c r="B12" s="108" t="s">
        <v>291</v>
      </c>
      <c r="C12" s="108" t="s">
        <v>322</v>
      </c>
      <c r="D12" s="109" t="s">
        <v>293</v>
      </c>
      <c r="E12" s="109"/>
      <c r="F12" s="108" t="s">
        <v>294</v>
      </c>
      <c r="G12" s="108" t="s">
        <v>294</v>
      </c>
      <c r="H12" s="107" t="s">
        <v>295</v>
      </c>
      <c r="I12" s="108" t="s">
        <v>295</v>
      </c>
      <c r="J12" s="108" t="s">
        <v>278</v>
      </c>
      <c r="K12" s="12"/>
      <c r="L12" s="120" t="s">
        <v>310</v>
      </c>
      <c r="M12" s="108"/>
      <c r="N12" s="107"/>
      <c r="O12" s="107"/>
      <c r="P12" s="107"/>
      <c r="Q12" s="107"/>
      <c r="R12" s="107"/>
      <c r="S12" s="107"/>
      <c r="T12" s="107"/>
      <c r="U12" s="118"/>
      <c r="V12" s="119"/>
    </row>
    <row r="13" spans="1:22" s="105" customFormat="1" ht="11.5" x14ac:dyDescent="0.25">
      <c r="A13" s="106"/>
      <c r="B13" s="108" t="s">
        <v>296</v>
      </c>
      <c r="C13" s="108" t="s">
        <v>323</v>
      </c>
      <c r="D13" s="108" t="s">
        <v>297</v>
      </c>
      <c r="E13" s="108" t="s">
        <v>298</v>
      </c>
      <c r="F13" s="108" t="s">
        <v>299</v>
      </c>
      <c r="G13" s="108" t="s">
        <v>300</v>
      </c>
      <c r="H13" s="108" t="s">
        <v>301</v>
      </c>
      <c r="I13" s="108" t="s">
        <v>302</v>
      </c>
      <c r="J13" s="108" t="s">
        <v>442</v>
      </c>
      <c r="K13" s="12"/>
      <c r="L13" s="121" t="s">
        <v>909</v>
      </c>
      <c r="M13" s="122">
        <f>[1]BW!$F$13</f>
        <v>16.175000000000001</v>
      </c>
      <c r="N13" s="123">
        <f>'[1]Skin Surface Area'!$R$47</f>
        <v>6569.2527912968799</v>
      </c>
      <c r="O13" s="111"/>
      <c r="P13" s="110">
        <v>1</v>
      </c>
      <c r="Q13" s="110">
        <v>365</v>
      </c>
      <c r="R13" s="110">
        <v>7</v>
      </c>
      <c r="S13" s="110">
        <v>7</v>
      </c>
      <c r="T13" s="124">
        <f>1/365</f>
        <v>2.7397260273972603E-3</v>
      </c>
      <c r="U13" s="125">
        <f>((30+32+44+(3*34)+41)/7)/60</f>
        <v>0.59285714285714286</v>
      </c>
      <c r="V13" s="126">
        <f>(P13*Q13*R13*N13*T13)/(M13*S13)</f>
        <v>406.1361849333465</v>
      </c>
    </row>
    <row r="14" spans="1:22" s="105" customFormat="1" ht="11.5" x14ac:dyDescent="0.25">
      <c r="A14" s="110"/>
      <c r="B14" s="111" t="s">
        <v>303</v>
      </c>
      <c r="C14" s="111" t="s">
        <v>324</v>
      </c>
      <c r="D14" s="111" t="s">
        <v>304</v>
      </c>
      <c r="E14" s="110" t="s">
        <v>305</v>
      </c>
      <c r="F14" s="111" t="s">
        <v>306</v>
      </c>
      <c r="G14" s="111" t="s">
        <v>306</v>
      </c>
      <c r="H14" s="111" t="s">
        <v>337</v>
      </c>
      <c r="I14" s="111" t="s">
        <v>338</v>
      </c>
      <c r="J14" s="107" t="s">
        <v>339</v>
      </c>
      <c r="K14" s="12"/>
      <c r="L14" s="117"/>
      <c r="M14" s="127"/>
      <c r="N14" s="107"/>
      <c r="O14" s="107"/>
      <c r="P14" s="107"/>
      <c r="Q14" s="107"/>
      <c r="R14" s="107"/>
      <c r="S14" s="107"/>
      <c r="T14" s="128"/>
      <c r="U14" s="129"/>
      <c r="V14" s="119"/>
    </row>
    <row r="15" spans="1:22" s="105" customFormat="1" ht="11.5" x14ac:dyDescent="0.25">
      <c r="A15" s="112" t="s">
        <v>308</v>
      </c>
      <c r="B15" s="114"/>
      <c r="C15" s="114"/>
      <c r="D15" s="114"/>
      <c r="E15" s="114"/>
      <c r="F15" s="114"/>
      <c r="G15" s="114"/>
      <c r="H15" s="114"/>
      <c r="I15" s="115"/>
      <c r="J15" s="107"/>
      <c r="L15" s="117" t="s">
        <v>311</v>
      </c>
      <c r="M15" s="127"/>
      <c r="N15" s="107"/>
      <c r="O15" s="107"/>
      <c r="P15" s="107"/>
      <c r="Q15" s="107"/>
      <c r="R15" s="107"/>
      <c r="S15" s="107"/>
      <c r="T15" s="128"/>
      <c r="U15" s="129"/>
      <c r="V15" s="119"/>
    </row>
    <row r="16" spans="1:22" s="105" customFormat="1" ht="11.5" x14ac:dyDescent="0.25">
      <c r="A16" s="117"/>
      <c r="B16" s="108"/>
      <c r="C16" s="108"/>
      <c r="D16" s="108"/>
      <c r="E16" s="108"/>
      <c r="F16" s="108"/>
      <c r="G16" s="108"/>
      <c r="H16" s="108"/>
      <c r="I16" s="130"/>
      <c r="J16" s="107"/>
      <c r="L16" s="117"/>
      <c r="M16" s="127"/>
      <c r="N16" s="107"/>
      <c r="O16" s="107"/>
      <c r="P16" s="107"/>
      <c r="Q16" s="107"/>
      <c r="R16" s="107"/>
      <c r="S16" s="107"/>
      <c r="T16" s="128"/>
      <c r="U16" s="129"/>
      <c r="V16" s="119"/>
    </row>
    <row r="17" spans="1:26" s="105" customFormat="1" ht="11.5" x14ac:dyDescent="0.25">
      <c r="A17" s="120" t="s">
        <v>310</v>
      </c>
      <c r="B17" s="108"/>
      <c r="C17" s="108"/>
      <c r="D17" s="108"/>
      <c r="E17" s="108"/>
      <c r="F17" s="108"/>
      <c r="G17" s="108"/>
      <c r="H17" s="108"/>
      <c r="I17" s="130"/>
      <c r="J17" s="107"/>
      <c r="L17" s="120" t="s">
        <v>310</v>
      </c>
      <c r="M17" s="127"/>
      <c r="N17" s="107"/>
      <c r="O17" s="107"/>
      <c r="P17" s="107"/>
      <c r="Q17" s="107"/>
      <c r="R17" s="107"/>
      <c r="S17" s="107"/>
      <c r="T17" s="128"/>
      <c r="U17" s="129"/>
      <c r="V17" s="119"/>
    </row>
    <row r="18" spans="1:26" s="105" customFormat="1" ht="11.5" x14ac:dyDescent="0.25">
      <c r="A18" s="121" t="s">
        <v>909</v>
      </c>
      <c r="B18" s="122">
        <f>[1]BW!$F$13</f>
        <v>16.175000000000001</v>
      </c>
      <c r="C18" s="111">
        <v>1</v>
      </c>
      <c r="D18" s="111">
        <v>7</v>
      </c>
      <c r="E18" s="111">
        <v>52</v>
      </c>
      <c r="F18" s="111">
        <v>7</v>
      </c>
      <c r="G18" s="111">
        <v>7</v>
      </c>
      <c r="H18" s="131">
        <v>1E-3</v>
      </c>
      <c r="I18" s="132">
        <f>1/365</f>
        <v>2.7397260273972603E-3</v>
      </c>
      <c r="J18" s="133">
        <f>C18*D18*E18*F18*H18*I18/(B18*G18)</f>
        <v>6.1654421883932157E-5</v>
      </c>
      <c r="L18" s="134" t="s">
        <v>909</v>
      </c>
      <c r="M18" s="135">
        <f>[1]BW!$F$13</f>
        <v>16.175000000000001</v>
      </c>
      <c r="N18" s="136">
        <f>'[1]Skin Surface Area'!$R$47</f>
        <v>6569.2527912968799</v>
      </c>
      <c r="O18" s="108"/>
      <c r="P18" s="107">
        <v>1</v>
      </c>
      <c r="Q18" s="107">
        <v>365</v>
      </c>
      <c r="R18" s="107">
        <v>7</v>
      </c>
      <c r="S18" s="107"/>
      <c r="T18" s="128"/>
      <c r="U18" s="129">
        <f>U13</f>
        <v>0.59285714285714286</v>
      </c>
      <c r="V18" s="119">
        <f>(P18*Q18*R18*N18*T21)/(M18*S21)</f>
        <v>40.613618493334648</v>
      </c>
    </row>
    <row r="19" spans="1:26" s="105" customFormat="1" ht="11.5" x14ac:dyDescent="0.25">
      <c r="A19" s="117"/>
      <c r="B19" s="127"/>
      <c r="C19" s="108"/>
      <c r="D19" s="108"/>
      <c r="E19" s="108"/>
      <c r="F19" s="108"/>
      <c r="G19" s="108"/>
      <c r="H19" s="108"/>
      <c r="I19" s="130"/>
      <c r="J19" s="128"/>
      <c r="L19" s="134" t="s">
        <v>910</v>
      </c>
      <c r="M19" s="135">
        <f>[1]BW!$F$20</f>
        <v>41.99285714285714</v>
      </c>
      <c r="N19" s="136">
        <f>'[1]Skin Surface Area'!$R$54</f>
        <v>12513.13468424128</v>
      </c>
      <c r="O19" s="108"/>
      <c r="P19" s="107">
        <v>1</v>
      </c>
      <c r="Q19" s="107">
        <v>365</v>
      </c>
      <c r="R19" s="107">
        <v>7</v>
      </c>
      <c r="S19" s="107"/>
      <c r="T19" s="128"/>
      <c r="U19" s="129">
        <f>(((4*41)+(3*40))/7)/60</f>
        <v>0.67619047619047612</v>
      </c>
      <c r="V19" s="119">
        <f>(P19*Q19*R19*N19*T21)/(M19*S21)</f>
        <v>29.798245548456869</v>
      </c>
    </row>
    <row r="20" spans="1:26" s="105" customFormat="1" ht="11.5" x14ac:dyDescent="0.25">
      <c r="A20" s="117" t="s">
        <v>311</v>
      </c>
      <c r="B20" s="127"/>
      <c r="C20" s="108"/>
      <c r="D20" s="108"/>
      <c r="E20" s="108"/>
      <c r="F20" s="108"/>
      <c r="G20" s="108"/>
      <c r="H20" s="108"/>
      <c r="I20" s="130"/>
      <c r="J20" s="128"/>
      <c r="L20" s="121" t="s">
        <v>911</v>
      </c>
      <c r="M20" s="122">
        <f>[1]BW!$F$36</f>
        <v>63.49062499999998</v>
      </c>
      <c r="N20" s="123">
        <f>'[1]Skin Surface Area'!$R$61</f>
        <v>17588.955479452055</v>
      </c>
      <c r="O20" s="111"/>
      <c r="P20" s="110">
        <v>1</v>
      </c>
      <c r="Q20" s="110">
        <v>365</v>
      </c>
      <c r="R20" s="110">
        <v>16</v>
      </c>
      <c r="S20" s="110"/>
      <c r="T20" s="137"/>
      <c r="U20" s="138">
        <f>(((2*40)+(5*45)+(9*60))/16)/60</f>
        <v>0.88020833333333337</v>
      </c>
      <c r="V20" s="119">
        <f>(P20*Q20*R20*N20*T21)/(M20*S21)</f>
        <v>63.321674357712091</v>
      </c>
    </row>
    <row r="21" spans="1:26" s="105" customFormat="1" ht="11.5" x14ac:dyDescent="0.25">
      <c r="A21" s="117"/>
      <c r="B21" s="127"/>
      <c r="C21" s="108"/>
      <c r="D21" s="108"/>
      <c r="E21" s="108"/>
      <c r="F21" s="108"/>
      <c r="G21" s="108"/>
      <c r="H21" s="108"/>
      <c r="I21" s="130"/>
      <c r="J21" s="128"/>
      <c r="L21" s="134" t="s">
        <v>936</v>
      </c>
      <c r="M21" s="139"/>
      <c r="N21" s="140"/>
      <c r="O21" s="107"/>
      <c r="P21" s="140"/>
      <c r="Q21" s="140"/>
      <c r="R21" s="140">
        <f>SUM(R18:R20)</f>
        <v>30</v>
      </c>
      <c r="S21" s="140">
        <v>70</v>
      </c>
      <c r="T21" s="141">
        <f>1/365</f>
        <v>2.7397260273972603E-3</v>
      </c>
      <c r="U21" s="142">
        <f>((30+32+44+(34*3)+(41*5)+(40*5)+(45*5)+(60*9))/30)/60</f>
        <v>0.76555555555555554</v>
      </c>
      <c r="V21" s="126">
        <f>SUM(V18:V20)</f>
        <v>133.7335383995036</v>
      </c>
      <c r="W21" s="108" t="s">
        <v>932</v>
      </c>
      <c r="Z21" s="143"/>
    </row>
    <row r="22" spans="1:26" s="105" customFormat="1" ht="11.5" x14ac:dyDescent="0.25">
      <c r="A22" s="120" t="s">
        <v>310</v>
      </c>
      <c r="B22" s="127"/>
      <c r="C22" s="108"/>
      <c r="D22" s="108"/>
      <c r="E22" s="108"/>
      <c r="F22" s="108"/>
      <c r="G22" s="108"/>
      <c r="H22" s="108"/>
      <c r="I22" s="130"/>
      <c r="J22" s="128"/>
      <c r="L22" s="134"/>
      <c r="M22" s="139"/>
      <c r="N22" s="140"/>
      <c r="O22" s="107"/>
      <c r="P22" s="140"/>
      <c r="Q22" s="140"/>
      <c r="R22" s="140"/>
      <c r="S22" s="140"/>
      <c r="T22" s="141"/>
      <c r="U22" s="144"/>
      <c r="V22" s="119"/>
      <c r="W22" s="108" t="s">
        <v>321</v>
      </c>
    </row>
    <row r="23" spans="1:26" s="105" customFormat="1" ht="11.5" x14ac:dyDescent="0.25">
      <c r="A23" s="134" t="s">
        <v>909</v>
      </c>
      <c r="B23" s="135">
        <f>[1]BW!$F$13</f>
        <v>16.175000000000001</v>
      </c>
      <c r="C23" s="108">
        <v>1</v>
      </c>
      <c r="D23" s="108">
        <v>7</v>
      </c>
      <c r="E23" s="108">
        <v>52</v>
      </c>
      <c r="F23" s="108">
        <v>7</v>
      </c>
      <c r="G23" s="108"/>
      <c r="H23" s="108"/>
      <c r="I23" s="130"/>
      <c r="J23" s="128">
        <f>C23*D23*E23*F23*$I$26*$H$26/(B23*$G$26)</f>
        <v>6.165442188393216E-6</v>
      </c>
      <c r="L23" s="117" t="s">
        <v>907</v>
      </c>
      <c r="M23" s="127"/>
      <c r="N23" s="107"/>
      <c r="O23" s="107"/>
      <c r="P23" s="107"/>
      <c r="Q23" s="107"/>
      <c r="R23" s="107"/>
      <c r="S23" s="107"/>
      <c r="T23" s="128"/>
      <c r="U23" s="129"/>
      <c r="V23" s="119"/>
      <c r="W23" s="108" t="s">
        <v>73</v>
      </c>
    </row>
    <row r="24" spans="1:26" s="105" customFormat="1" ht="11.5" x14ac:dyDescent="0.25">
      <c r="A24" s="134" t="s">
        <v>910</v>
      </c>
      <c r="B24" s="135">
        <f>[1]BW!$F$20</f>
        <v>41.99285714285714</v>
      </c>
      <c r="C24" s="108">
        <v>2</v>
      </c>
      <c r="D24" s="108">
        <v>7</v>
      </c>
      <c r="E24" s="108">
        <v>52</v>
      </c>
      <c r="F24" s="108">
        <v>7</v>
      </c>
      <c r="G24" s="108"/>
      <c r="H24" s="108"/>
      <c r="I24" s="130"/>
      <c r="J24" s="128">
        <f>C24*D24*E24*F24*$I$26*$H$26/(B24*$G$26)</f>
        <v>4.7496662138514847E-6</v>
      </c>
      <c r="L24" s="117"/>
      <c r="M24" s="127"/>
      <c r="N24" s="107"/>
      <c r="O24" s="107"/>
      <c r="P24" s="107"/>
      <c r="Q24" s="107"/>
      <c r="R24" s="107"/>
      <c r="S24" s="107"/>
      <c r="T24" s="128"/>
      <c r="U24" s="129"/>
      <c r="V24" s="119"/>
      <c r="W24" s="108" t="s">
        <v>448</v>
      </c>
    </row>
    <row r="25" spans="1:26" s="105" customFormat="1" ht="11.5" x14ac:dyDescent="0.25">
      <c r="A25" s="121" t="s">
        <v>911</v>
      </c>
      <c r="B25" s="122">
        <f>[1]BW!$F$36</f>
        <v>63.49062499999998</v>
      </c>
      <c r="C25" s="111">
        <v>2</v>
      </c>
      <c r="D25" s="111">
        <v>7</v>
      </c>
      <c r="E25" s="111">
        <v>52</v>
      </c>
      <c r="F25" s="111">
        <v>16</v>
      </c>
      <c r="G25" s="111"/>
      <c r="H25" s="111"/>
      <c r="I25" s="145"/>
      <c r="J25" s="128">
        <f>C25*D25*E25*F25*$I$26*$H$26/(B25*$G$26)</f>
        <v>7.180436654370693E-6</v>
      </c>
      <c r="L25" s="120" t="s">
        <v>310</v>
      </c>
      <c r="M25" s="127"/>
      <c r="N25" s="107"/>
      <c r="O25" s="107"/>
      <c r="P25" s="107"/>
      <c r="Q25" s="107"/>
      <c r="R25" s="107"/>
      <c r="S25" s="107"/>
      <c r="T25" s="128"/>
      <c r="U25" s="129"/>
      <c r="V25" s="119"/>
      <c r="W25" s="111" t="s">
        <v>78</v>
      </c>
    </row>
    <row r="26" spans="1:26" s="105" customFormat="1" ht="11.5" x14ac:dyDescent="0.25">
      <c r="A26" s="134" t="s">
        <v>935</v>
      </c>
      <c r="B26" s="139"/>
      <c r="C26" s="146"/>
      <c r="D26" s="146"/>
      <c r="E26" s="146"/>
      <c r="F26" s="108">
        <f>SUM(F23:F25)</f>
        <v>30</v>
      </c>
      <c r="G26" s="146">
        <v>70</v>
      </c>
      <c r="H26" s="146">
        <v>1E-3</v>
      </c>
      <c r="I26" s="154">
        <f>1/365</f>
        <v>2.7397260273972603E-3</v>
      </c>
      <c r="J26" s="133">
        <f>SUM(J23:J25)</f>
        <v>1.8095545056615394E-5</v>
      </c>
      <c r="K26" s="147"/>
      <c r="L26" s="134" t="s">
        <v>905</v>
      </c>
      <c r="M26" s="135">
        <f>[1]BW!$I$11</f>
        <v>9.5625</v>
      </c>
      <c r="N26" s="136">
        <f>'[1]Skin Surface Area'!$R$41</f>
        <v>4550</v>
      </c>
      <c r="O26" s="108"/>
      <c r="P26" s="107">
        <v>1</v>
      </c>
      <c r="Q26" s="107">
        <v>365</v>
      </c>
      <c r="R26" s="107">
        <v>2</v>
      </c>
      <c r="S26" s="140">
        <v>70</v>
      </c>
      <c r="T26" s="141">
        <f>1/365</f>
        <v>2.7397260273972603E-3</v>
      </c>
      <c r="U26" s="129">
        <f>(((30)+(32))/2)/60</f>
        <v>0.51666666666666672</v>
      </c>
      <c r="V26" s="126">
        <f>(P26*Q26*R26*N26*T26)/(M26*S26)</f>
        <v>13.594771241830065</v>
      </c>
      <c r="W26" s="126">
        <f>(P26*Q26*R26*N26*T26)/(M26*R26)</f>
        <v>475.8169934640523</v>
      </c>
    </row>
    <row r="27" spans="1:26" s="105" customFormat="1" ht="11.5" x14ac:dyDescent="0.25">
      <c r="A27" s="148"/>
      <c r="B27" s="149"/>
      <c r="C27" s="110"/>
      <c r="D27" s="110"/>
      <c r="E27" s="110"/>
      <c r="F27" s="110"/>
      <c r="G27" s="110"/>
      <c r="H27" s="110"/>
      <c r="I27" s="150"/>
      <c r="J27" s="128"/>
      <c r="K27" s="108" t="s">
        <v>932</v>
      </c>
      <c r="L27" s="134" t="s">
        <v>906</v>
      </c>
      <c r="M27" s="135">
        <f>[1]BW!$I$14</f>
        <v>17.55</v>
      </c>
      <c r="N27" s="136">
        <f>'[1]Skin Surface Area'!$R$45</f>
        <v>7025</v>
      </c>
      <c r="O27" s="108"/>
      <c r="P27" s="107">
        <v>1</v>
      </c>
      <c r="Q27" s="107">
        <v>365</v>
      </c>
      <c r="R27" s="107">
        <v>4</v>
      </c>
      <c r="S27" s="140">
        <v>70</v>
      </c>
      <c r="T27" s="141">
        <f>1/365</f>
        <v>2.7397260273972603E-3</v>
      </c>
      <c r="U27" s="129">
        <f>((44+(3*34))/4)/60</f>
        <v>0.60833333333333328</v>
      </c>
      <c r="V27" s="126">
        <f t="shared" ref="V27:V29" si="0">(P27*Q27*R27*N27*T27)/(M27*S27)</f>
        <v>22.873422873422875</v>
      </c>
      <c r="W27" s="126">
        <f>(P27*Q27*R27*N27*T27)/(M27*S27)</f>
        <v>22.873422873422875</v>
      </c>
    </row>
    <row r="28" spans="1:26" s="105" customFormat="1" ht="11.5" x14ac:dyDescent="0.25">
      <c r="A28" s="108"/>
      <c r="B28" s="151"/>
      <c r="C28" s="107"/>
      <c r="D28" s="107"/>
      <c r="E28" s="107"/>
      <c r="F28" s="107"/>
      <c r="G28" s="107"/>
      <c r="H28" s="107"/>
      <c r="I28" s="115"/>
      <c r="J28" s="128"/>
      <c r="K28" s="108" t="s">
        <v>321</v>
      </c>
      <c r="L28" s="134" t="s">
        <v>903</v>
      </c>
      <c r="M28" s="135">
        <f>[1]BW!$I$17</f>
        <v>43.204999999999998</v>
      </c>
      <c r="N28" s="136">
        <f>'[1]Skin Surface Area'!$R$52</f>
        <v>12950</v>
      </c>
      <c r="O28" s="108"/>
      <c r="P28" s="107">
        <v>1</v>
      </c>
      <c r="Q28" s="107">
        <v>365</v>
      </c>
      <c r="R28" s="107">
        <v>10</v>
      </c>
      <c r="S28" s="140">
        <v>70</v>
      </c>
      <c r="T28" s="141">
        <f>1/365</f>
        <v>2.7397260273972603E-3</v>
      </c>
      <c r="U28" s="129">
        <f>(((41*5)+(40*5))/10)/60</f>
        <v>0.67500000000000004</v>
      </c>
      <c r="V28" s="126">
        <f t="shared" si="0"/>
        <v>42.81911815762065</v>
      </c>
      <c r="W28" s="126">
        <f>(P28*Q28*R28*N28*T28)/(M28*S28)</f>
        <v>42.81911815762065</v>
      </c>
    </row>
    <row r="29" spans="1:26" s="105" customFormat="1" ht="11.5" x14ac:dyDescent="0.25">
      <c r="A29" s="108"/>
      <c r="B29" s="151"/>
      <c r="C29" s="107"/>
      <c r="D29" s="107"/>
      <c r="E29" s="107"/>
      <c r="F29" s="107"/>
      <c r="G29" s="107"/>
      <c r="H29" s="107"/>
      <c r="I29" s="118"/>
      <c r="J29" s="128"/>
      <c r="K29" s="108" t="s">
        <v>441</v>
      </c>
      <c r="L29" s="121" t="s">
        <v>904</v>
      </c>
      <c r="M29" s="122">
        <f>[1]BW!$I$38</f>
        <v>64.789999999999992</v>
      </c>
      <c r="N29" s="123">
        <f>'[1]Skin Surface Area'!$R$59</f>
        <v>17735.714285714286</v>
      </c>
      <c r="O29" s="111">
        <v>1E-3</v>
      </c>
      <c r="P29" s="110">
        <v>1</v>
      </c>
      <c r="Q29" s="110">
        <v>365</v>
      </c>
      <c r="R29" s="110">
        <v>14</v>
      </c>
      <c r="S29" s="152">
        <v>70</v>
      </c>
      <c r="T29" s="124">
        <f>1/365</f>
        <v>2.7397260273972603E-3</v>
      </c>
      <c r="U29" s="138">
        <f>(((5*45)+(9*60))/14)/60</f>
        <v>0.91071428571428581</v>
      </c>
      <c r="V29" s="153">
        <f t="shared" si="0"/>
        <v>54.748307719445251</v>
      </c>
      <c r="W29" s="153">
        <f>(P29*Q29*R29*N29*T29)/(M29*S29)</f>
        <v>54.748307719445251</v>
      </c>
    </row>
    <row r="30" spans="1:26" s="105" customFormat="1" ht="11.5" x14ac:dyDescent="0.25">
      <c r="A30" s="117" t="s">
        <v>902</v>
      </c>
      <c r="B30" s="127"/>
      <c r="C30" s="108"/>
      <c r="D30" s="108"/>
      <c r="E30" s="108"/>
      <c r="F30" s="108"/>
      <c r="G30" s="108"/>
      <c r="H30" s="108"/>
      <c r="I30" s="130"/>
      <c r="J30" s="128"/>
      <c r="K30" s="108" t="s">
        <v>278</v>
      </c>
    </row>
    <row r="31" spans="1:26" s="105" customFormat="1" ht="11.5" x14ac:dyDescent="0.25">
      <c r="A31" s="117"/>
      <c r="B31" s="127"/>
      <c r="C31" s="108"/>
      <c r="D31" s="108"/>
      <c r="E31" s="108"/>
      <c r="F31" s="108"/>
      <c r="G31" s="108"/>
      <c r="H31" s="108"/>
      <c r="I31" s="130"/>
      <c r="J31" s="128"/>
      <c r="K31" s="108" t="s">
        <v>442</v>
      </c>
    </row>
    <row r="32" spans="1:26" s="105" customFormat="1" ht="11.5" x14ac:dyDescent="0.25">
      <c r="A32" s="120" t="s">
        <v>310</v>
      </c>
      <c r="B32" s="127"/>
      <c r="C32" s="108"/>
      <c r="D32" s="108"/>
      <c r="E32" s="108"/>
      <c r="F32" s="108"/>
      <c r="G32" s="108"/>
      <c r="H32" s="108"/>
      <c r="I32" s="130"/>
      <c r="J32" s="128"/>
      <c r="K32" s="107" t="s">
        <v>339</v>
      </c>
    </row>
    <row r="33" spans="1:28" s="105" customFormat="1" ht="11.5" x14ac:dyDescent="0.25">
      <c r="A33" s="134" t="s">
        <v>905</v>
      </c>
      <c r="B33" s="135">
        <f>[1]BW!$I$11</f>
        <v>9.5625</v>
      </c>
      <c r="C33" s="108">
        <v>1</v>
      </c>
      <c r="D33" s="108">
        <v>7</v>
      </c>
      <c r="E33" s="108">
        <v>52</v>
      </c>
      <c r="F33" s="108">
        <v>2</v>
      </c>
      <c r="G33" s="146">
        <v>70</v>
      </c>
      <c r="H33" s="146">
        <v>1E-3</v>
      </c>
      <c r="I33" s="154">
        <f>1/365</f>
        <v>2.7397260273972603E-3</v>
      </c>
      <c r="J33" s="133">
        <f>C33*D33*E33*F33*I33*H33/(B33*G33)</f>
        <v>2.979675888620288E-6</v>
      </c>
      <c r="K33" s="155">
        <f>C33*D33*E33*F33*I33*H33/(B33*F33)</f>
        <v>1.0428865610171009E-4</v>
      </c>
    </row>
    <row r="34" spans="1:28" s="105" customFormat="1" ht="11.5" x14ac:dyDescent="0.25">
      <c r="A34" s="134" t="s">
        <v>908</v>
      </c>
      <c r="B34" s="135">
        <f>[1]BW!$I$14</f>
        <v>17.55</v>
      </c>
      <c r="C34" s="108">
        <v>1</v>
      </c>
      <c r="D34" s="108">
        <v>7</v>
      </c>
      <c r="E34" s="108">
        <v>52</v>
      </c>
      <c r="F34" s="108">
        <v>4</v>
      </c>
      <c r="G34" s="146">
        <v>70</v>
      </c>
      <c r="H34" s="146">
        <v>1E-3</v>
      </c>
      <c r="I34" s="154">
        <f>1/365</f>
        <v>2.7397260273972603E-3</v>
      </c>
      <c r="J34" s="133">
        <f t="shared" ref="J34:J36" si="1">C34*D34*E34*F34*I34*H34/(B34*G34)</f>
        <v>3.2470826991374936E-6</v>
      </c>
      <c r="K34" s="156">
        <f>C34*D34*E34*F34*I34*H34/(B34*G34)</f>
        <v>3.2470826991374936E-6</v>
      </c>
    </row>
    <row r="35" spans="1:28" s="105" customFormat="1" ht="11.5" x14ac:dyDescent="0.25">
      <c r="A35" s="134" t="s">
        <v>903</v>
      </c>
      <c r="B35" s="135">
        <f>[1]BW!$I$17</f>
        <v>43.204999999999998</v>
      </c>
      <c r="C35" s="108">
        <v>2</v>
      </c>
      <c r="D35" s="108">
        <v>7</v>
      </c>
      <c r="E35" s="108">
        <v>52</v>
      </c>
      <c r="F35" s="108">
        <v>10</v>
      </c>
      <c r="G35" s="146">
        <v>70</v>
      </c>
      <c r="H35" s="146">
        <v>1E-3</v>
      </c>
      <c r="I35" s="154">
        <f>1/365</f>
        <v>2.7397260273972603E-3</v>
      </c>
      <c r="J35" s="133">
        <f t="shared" si="1"/>
        <v>6.5948734370863358E-6</v>
      </c>
      <c r="K35" s="156">
        <f>C35*D35*E35*F35*I35*H35/(B35*G35)</f>
        <v>6.5948734370863358E-6</v>
      </c>
    </row>
    <row r="36" spans="1:28" s="105" customFormat="1" ht="11.5" x14ac:dyDescent="0.25">
      <c r="A36" s="121" t="s">
        <v>904</v>
      </c>
      <c r="B36" s="122">
        <f>[1]BW!$I$38</f>
        <v>64.789999999999992</v>
      </c>
      <c r="C36" s="111">
        <v>2</v>
      </c>
      <c r="D36" s="111">
        <v>7</v>
      </c>
      <c r="E36" s="111">
        <v>52</v>
      </c>
      <c r="F36" s="111">
        <v>14</v>
      </c>
      <c r="G36" s="111">
        <v>70</v>
      </c>
      <c r="H36" s="111">
        <v>1E-3</v>
      </c>
      <c r="I36" s="132">
        <f>1/365</f>
        <v>2.7397260273972603E-3</v>
      </c>
      <c r="J36" s="133">
        <f t="shared" si="1"/>
        <v>6.1568777525704759E-6</v>
      </c>
      <c r="K36" s="157">
        <f>C36*D36*E36*F36*I36*H36/(B36*G36)</f>
        <v>6.1568777525704759E-6</v>
      </c>
    </row>
    <row r="37" spans="1:28" s="105" customFormat="1" ht="11.5" x14ac:dyDescent="0.25">
      <c r="A37" s="158"/>
      <c r="B37" s="135"/>
      <c r="C37" s="108"/>
      <c r="D37" s="108"/>
      <c r="E37" s="108"/>
      <c r="F37" s="108"/>
      <c r="G37" s="108"/>
      <c r="H37" s="108"/>
      <c r="I37" s="108"/>
      <c r="J37" s="107"/>
      <c r="K37" s="107"/>
    </row>
    <row r="38" spans="1:28" s="105" customFormat="1" ht="11.5" x14ac:dyDescent="0.25">
      <c r="A38" s="104"/>
      <c r="B38" s="159"/>
      <c r="L38" s="105" t="s">
        <v>100</v>
      </c>
    </row>
    <row r="39" spans="1:28" s="105" customFormat="1" ht="11.5" x14ac:dyDescent="0.25">
      <c r="A39" s="106" t="s">
        <v>364</v>
      </c>
      <c r="B39" s="106"/>
      <c r="C39" s="107"/>
      <c r="D39" s="107"/>
      <c r="E39" s="107"/>
      <c r="F39" s="108" t="s">
        <v>405</v>
      </c>
      <c r="G39" s="108" t="s">
        <v>409</v>
      </c>
      <c r="H39" s="107"/>
      <c r="I39" s="107"/>
      <c r="J39" s="107"/>
      <c r="K39" s="107"/>
      <c r="L39" s="107"/>
      <c r="M39" s="616"/>
      <c r="N39" s="616"/>
      <c r="O39" s="616"/>
      <c r="P39" s="616"/>
      <c r="Q39" s="616"/>
      <c r="R39" s="616"/>
      <c r="S39" s="616"/>
      <c r="T39" s="616"/>
      <c r="U39" s="616"/>
      <c r="V39" s="616"/>
      <c r="W39" s="616"/>
      <c r="X39" s="616"/>
      <c r="Y39" s="616"/>
      <c r="Z39" s="616"/>
      <c r="AA39" s="616"/>
      <c r="AB39" s="616"/>
    </row>
    <row r="40" spans="1:28" s="105" customFormat="1" ht="11.5" x14ac:dyDescent="0.25">
      <c r="A40" s="107"/>
      <c r="B40" s="151"/>
      <c r="C40" s="108" t="s">
        <v>370</v>
      </c>
      <c r="D40" s="108" t="s">
        <v>370</v>
      </c>
      <c r="E40" s="108"/>
      <c r="F40" s="108" t="s">
        <v>406</v>
      </c>
      <c r="G40" s="108" t="s">
        <v>406</v>
      </c>
      <c r="H40" s="107" t="s">
        <v>412</v>
      </c>
      <c r="I40" s="108" t="s">
        <v>418</v>
      </c>
      <c r="J40" s="108" t="s">
        <v>418</v>
      </c>
      <c r="K40" s="108"/>
      <c r="L40" s="108"/>
      <c r="M40" s="107"/>
      <c r="N40" s="107"/>
      <c r="O40" s="108" t="s">
        <v>371</v>
      </c>
      <c r="P40" s="108" t="s">
        <v>370</v>
      </c>
      <c r="Q40" s="108" t="s">
        <v>370</v>
      </c>
      <c r="R40" s="108" t="s">
        <v>359</v>
      </c>
      <c r="S40" s="108"/>
      <c r="T40" s="108" t="s">
        <v>396</v>
      </c>
      <c r="U40" s="108" t="s">
        <v>32</v>
      </c>
      <c r="V40" s="108"/>
      <c r="W40" s="107"/>
      <c r="X40" s="107"/>
      <c r="Y40" s="107"/>
      <c r="Z40" s="107"/>
      <c r="AA40" s="107"/>
      <c r="AB40" s="107"/>
    </row>
    <row r="41" spans="1:28" s="105" customFormat="1" ht="11.5" x14ac:dyDescent="0.25">
      <c r="A41" s="107"/>
      <c r="B41" s="127" t="s">
        <v>288</v>
      </c>
      <c r="C41" s="108" t="s">
        <v>380</v>
      </c>
      <c r="D41" s="108" t="s">
        <v>380</v>
      </c>
      <c r="E41" s="108" t="s">
        <v>399</v>
      </c>
      <c r="F41" s="108" t="s">
        <v>407</v>
      </c>
      <c r="G41" s="108" t="s">
        <v>407</v>
      </c>
      <c r="H41" s="108" t="s">
        <v>413</v>
      </c>
      <c r="I41" s="108" t="s">
        <v>417</v>
      </c>
      <c r="J41" s="108" t="s">
        <v>417</v>
      </c>
      <c r="K41" s="108" t="s">
        <v>276</v>
      </c>
      <c r="L41" s="108" t="s">
        <v>276</v>
      </c>
      <c r="M41" s="108" t="s">
        <v>359</v>
      </c>
      <c r="N41" s="108" t="s">
        <v>370</v>
      </c>
      <c r="O41" s="108" t="s">
        <v>376</v>
      </c>
      <c r="P41" s="108" t="s">
        <v>371</v>
      </c>
      <c r="Q41" s="108" t="s">
        <v>387</v>
      </c>
      <c r="R41" s="108" t="s">
        <v>390</v>
      </c>
      <c r="S41" s="108" t="s">
        <v>370</v>
      </c>
      <c r="T41" s="108" t="s">
        <v>397</v>
      </c>
      <c r="U41" s="108" t="s">
        <v>29</v>
      </c>
      <c r="V41" s="109" t="s">
        <v>289</v>
      </c>
      <c r="W41" s="109"/>
      <c r="X41" s="108" t="s">
        <v>289</v>
      </c>
      <c r="Y41" s="108" t="s">
        <v>290</v>
      </c>
      <c r="Z41" s="109" t="s">
        <v>276</v>
      </c>
      <c r="AA41" s="109"/>
      <c r="AB41" s="109"/>
    </row>
    <row r="42" spans="1:28" s="105" customFormat="1" ht="11.5" x14ac:dyDescent="0.25">
      <c r="A42" s="106"/>
      <c r="B42" s="127" t="s">
        <v>291</v>
      </c>
      <c r="C42" s="108" t="s">
        <v>381</v>
      </c>
      <c r="D42" s="108" t="s">
        <v>429</v>
      </c>
      <c r="E42" s="108" t="s">
        <v>295</v>
      </c>
      <c r="F42" s="108" t="s">
        <v>408</v>
      </c>
      <c r="G42" s="108" t="s">
        <v>408</v>
      </c>
      <c r="H42" s="108" t="s">
        <v>414</v>
      </c>
      <c r="I42" s="108" t="s">
        <v>416</v>
      </c>
      <c r="J42" s="108" t="s">
        <v>377</v>
      </c>
      <c r="K42" s="108" t="s">
        <v>278</v>
      </c>
      <c r="L42" s="108" t="s">
        <v>278</v>
      </c>
      <c r="M42" s="108" t="s">
        <v>402</v>
      </c>
      <c r="N42" s="108" t="s">
        <v>372</v>
      </c>
      <c r="O42" s="108" t="s">
        <v>377</v>
      </c>
      <c r="P42" s="108" t="s">
        <v>382</v>
      </c>
      <c r="Q42" s="108" t="s">
        <v>388</v>
      </c>
      <c r="R42" s="108" t="s">
        <v>292</v>
      </c>
      <c r="S42" s="108" t="s">
        <v>394</v>
      </c>
      <c r="T42" s="108" t="s">
        <v>398</v>
      </c>
      <c r="U42" s="108" t="s">
        <v>30</v>
      </c>
      <c r="V42" s="109" t="s">
        <v>293</v>
      </c>
      <c r="W42" s="109"/>
      <c r="X42" s="108" t="s">
        <v>294</v>
      </c>
      <c r="Y42" s="108" t="s">
        <v>294</v>
      </c>
      <c r="Z42" s="109" t="s">
        <v>101</v>
      </c>
      <c r="AA42" s="109"/>
      <c r="AB42" s="109"/>
    </row>
    <row r="43" spans="1:28" s="105" customFormat="1" ht="13.5" x14ac:dyDescent="0.35">
      <c r="A43" s="106"/>
      <c r="B43" s="127" t="s">
        <v>296</v>
      </c>
      <c r="C43" s="108" t="s">
        <v>378</v>
      </c>
      <c r="D43" s="108" t="s">
        <v>430</v>
      </c>
      <c r="E43" s="108" t="s">
        <v>389</v>
      </c>
      <c r="F43" s="108" t="s">
        <v>403</v>
      </c>
      <c r="G43" s="108" t="s">
        <v>410</v>
      </c>
      <c r="H43" s="108" t="s">
        <v>411</v>
      </c>
      <c r="I43" s="108" t="s">
        <v>415</v>
      </c>
      <c r="J43" s="108" t="s">
        <v>375</v>
      </c>
      <c r="K43" s="108" t="s">
        <v>301</v>
      </c>
      <c r="L43" s="108" t="s">
        <v>302</v>
      </c>
      <c r="M43" s="108" t="s">
        <v>401</v>
      </c>
      <c r="N43" s="108" t="s">
        <v>373</v>
      </c>
      <c r="O43" s="108" t="s">
        <v>375</v>
      </c>
      <c r="P43" s="108" t="s">
        <v>383</v>
      </c>
      <c r="Q43" s="108" t="s">
        <v>385</v>
      </c>
      <c r="R43" s="108" t="s">
        <v>992</v>
      </c>
      <c r="S43" s="108" t="s">
        <v>393</v>
      </c>
      <c r="T43" s="108" t="s">
        <v>395</v>
      </c>
      <c r="U43" s="108" t="s">
        <v>31</v>
      </c>
      <c r="V43" s="108" t="s">
        <v>297</v>
      </c>
      <c r="W43" s="108" t="s">
        <v>298</v>
      </c>
      <c r="X43" s="108" t="s">
        <v>299</v>
      </c>
      <c r="Y43" s="108" t="s">
        <v>300</v>
      </c>
      <c r="Z43" s="108" t="s">
        <v>301</v>
      </c>
      <c r="AA43" s="108" t="s">
        <v>302</v>
      </c>
      <c r="AB43" s="108" t="s">
        <v>23</v>
      </c>
    </row>
    <row r="44" spans="1:28" s="105" customFormat="1" ht="12" thickBot="1" x14ac:dyDescent="0.3">
      <c r="A44" s="160"/>
      <c r="B44" s="161" t="s">
        <v>303</v>
      </c>
      <c r="C44" s="162" t="s">
        <v>379</v>
      </c>
      <c r="D44" s="162" t="s">
        <v>431</v>
      </c>
      <c r="E44" s="162" t="s">
        <v>400</v>
      </c>
      <c r="F44" s="162" t="s">
        <v>404</v>
      </c>
      <c r="G44" s="162" t="s">
        <v>404</v>
      </c>
      <c r="H44" s="162" t="s">
        <v>369</v>
      </c>
      <c r="I44" s="162" t="s">
        <v>374</v>
      </c>
      <c r="J44" s="162" t="s">
        <v>374</v>
      </c>
      <c r="K44" s="162" t="s">
        <v>428</v>
      </c>
      <c r="L44" s="162" t="s">
        <v>354</v>
      </c>
      <c r="M44" s="162" t="s">
        <v>369</v>
      </c>
      <c r="N44" s="162" t="s">
        <v>369</v>
      </c>
      <c r="O44" s="162" t="s">
        <v>374</v>
      </c>
      <c r="P44" s="162" t="s">
        <v>384</v>
      </c>
      <c r="Q44" s="162" t="s">
        <v>386</v>
      </c>
      <c r="R44" s="162" t="s">
        <v>391</v>
      </c>
      <c r="S44" s="162" t="s">
        <v>392</v>
      </c>
      <c r="T44" s="162" t="s">
        <v>392</v>
      </c>
      <c r="U44" s="162" t="s">
        <v>445</v>
      </c>
      <c r="V44" s="162" t="s">
        <v>304</v>
      </c>
      <c r="W44" s="160" t="s">
        <v>305</v>
      </c>
      <c r="X44" s="162" t="s">
        <v>306</v>
      </c>
      <c r="Y44" s="162" t="s">
        <v>306</v>
      </c>
      <c r="Z44" s="162" t="s">
        <v>24</v>
      </c>
      <c r="AA44" s="162" t="s">
        <v>338</v>
      </c>
      <c r="AB44" s="162" t="s">
        <v>33</v>
      </c>
    </row>
    <row r="45" spans="1:28" s="105" customFormat="1" ht="11.5" x14ac:dyDescent="0.25">
      <c r="A45" s="117" t="s">
        <v>308</v>
      </c>
      <c r="B45" s="151"/>
      <c r="C45" s="113"/>
      <c r="D45" s="113"/>
      <c r="E45" s="113"/>
      <c r="F45" s="113"/>
      <c r="G45" s="113"/>
      <c r="H45" s="108"/>
      <c r="I45" s="113"/>
      <c r="J45" s="113"/>
      <c r="K45" s="113"/>
      <c r="L45" s="113"/>
      <c r="M45" s="108"/>
      <c r="N45" s="108"/>
      <c r="O45" s="108"/>
      <c r="P45" s="108"/>
      <c r="Q45" s="108"/>
      <c r="R45" s="108"/>
      <c r="S45" s="108"/>
      <c r="T45" s="108"/>
      <c r="U45" s="108"/>
      <c r="V45" s="108"/>
      <c r="W45" s="108"/>
      <c r="X45" s="108"/>
      <c r="Y45" s="108"/>
      <c r="Z45" s="108"/>
      <c r="AA45" s="108"/>
      <c r="AB45" s="130"/>
    </row>
    <row r="46" spans="1:28" s="105" customFormat="1" ht="11.5" x14ac:dyDescent="0.25">
      <c r="A46" s="117"/>
      <c r="B46" s="127"/>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30"/>
    </row>
    <row r="47" spans="1:28" s="105" customFormat="1" ht="11.5" x14ac:dyDescent="0.25">
      <c r="A47" s="120" t="s">
        <v>310</v>
      </c>
      <c r="B47" s="127"/>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30"/>
    </row>
    <row r="48" spans="1:28" s="105" customFormat="1" ht="11.5" x14ac:dyDescent="0.25">
      <c r="A48" s="121" t="s">
        <v>909</v>
      </c>
      <c r="B48" s="122">
        <f>[1]BW!$F$13</f>
        <v>16.175000000000001</v>
      </c>
      <c r="C48" s="111"/>
      <c r="D48" s="111"/>
      <c r="E48" s="111"/>
      <c r="F48" s="111"/>
      <c r="G48" s="111"/>
      <c r="H48" s="111"/>
      <c r="I48" s="111"/>
      <c r="J48" s="111"/>
      <c r="K48" s="111"/>
      <c r="L48" s="111"/>
      <c r="M48" s="111"/>
      <c r="N48" s="111"/>
      <c r="O48" s="111"/>
      <c r="P48" s="111"/>
      <c r="Q48" s="111"/>
      <c r="R48" s="163"/>
      <c r="S48" s="164">
        <f>U13*60</f>
        <v>35.571428571428569</v>
      </c>
      <c r="T48" s="164">
        <f>12.6+S48</f>
        <v>48.171428571428571</v>
      </c>
      <c r="U48" s="165">
        <v>1</v>
      </c>
      <c r="V48" s="111">
        <v>7</v>
      </c>
      <c r="W48" s="111">
        <v>52</v>
      </c>
      <c r="X48" s="111">
        <v>7</v>
      </c>
      <c r="Y48" s="111">
        <v>7</v>
      </c>
      <c r="Z48" s="131"/>
      <c r="AA48" s="131"/>
      <c r="AB48" s="132"/>
    </row>
    <row r="49" spans="1:84" s="105" customFormat="1" ht="11.5" x14ac:dyDescent="0.25">
      <c r="A49" s="117"/>
      <c r="B49" s="127"/>
      <c r="C49" s="108"/>
      <c r="D49" s="108"/>
      <c r="E49" s="108"/>
      <c r="F49" s="108"/>
      <c r="G49" s="108"/>
      <c r="H49" s="108"/>
      <c r="I49" s="108"/>
      <c r="J49" s="108"/>
      <c r="K49" s="108"/>
      <c r="L49" s="108"/>
      <c r="M49" s="108"/>
      <c r="N49" s="108"/>
      <c r="O49" s="108"/>
      <c r="P49" s="108"/>
      <c r="Q49" s="108"/>
      <c r="R49" s="108"/>
      <c r="S49" s="166"/>
      <c r="T49" s="166"/>
      <c r="U49" s="166"/>
      <c r="V49" s="108"/>
      <c r="W49" s="108"/>
      <c r="X49" s="108"/>
      <c r="Y49" s="108"/>
      <c r="Z49" s="108"/>
      <c r="AA49" s="108"/>
      <c r="AB49" s="130"/>
    </row>
    <row r="50" spans="1:84" s="105" customFormat="1" ht="11.5" x14ac:dyDescent="0.25">
      <c r="A50" s="117" t="s">
        <v>311</v>
      </c>
      <c r="B50" s="127"/>
      <c r="C50" s="108"/>
      <c r="D50" s="108"/>
      <c r="E50" s="108"/>
      <c r="F50" s="108"/>
      <c r="G50" s="108"/>
      <c r="H50" s="108"/>
      <c r="I50" s="108"/>
      <c r="J50" s="108"/>
      <c r="K50" s="108"/>
      <c r="L50" s="108"/>
      <c r="M50" s="108"/>
      <c r="N50" s="108"/>
      <c r="O50" s="108"/>
      <c r="P50" s="108"/>
      <c r="Q50" s="108"/>
      <c r="R50" s="108"/>
      <c r="S50" s="166"/>
      <c r="T50" s="166"/>
      <c r="U50" s="166"/>
      <c r="V50" s="108"/>
      <c r="W50" s="108"/>
      <c r="X50" s="108"/>
      <c r="Y50" s="108"/>
      <c r="Z50" s="108"/>
      <c r="AA50" s="108"/>
      <c r="AB50" s="130"/>
    </row>
    <row r="51" spans="1:84" s="105" customFormat="1" ht="11.5" x14ac:dyDescent="0.25">
      <c r="A51" s="117"/>
      <c r="B51" s="127"/>
      <c r="C51" s="108"/>
      <c r="D51" s="108"/>
      <c r="E51" s="108"/>
      <c r="F51" s="108"/>
      <c r="G51" s="108"/>
      <c r="H51" s="108"/>
      <c r="I51" s="108"/>
      <c r="J51" s="108"/>
      <c r="K51" s="108"/>
      <c r="L51" s="108"/>
      <c r="M51" s="108"/>
      <c r="N51" s="108"/>
      <c r="O51" s="108"/>
      <c r="P51" s="108"/>
      <c r="Q51" s="108"/>
      <c r="R51" s="108"/>
      <c r="S51" s="166"/>
      <c r="T51" s="166"/>
      <c r="U51" s="166"/>
      <c r="V51" s="108"/>
      <c r="W51" s="108"/>
      <c r="X51" s="108"/>
      <c r="Y51" s="108"/>
      <c r="Z51" s="108"/>
      <c r="AA51" s="108"/>
      <c r="AB51" s="130"/>
    </row>
    <row r="52" spans="1:84" s="105" customFormat="1" ht="11.5" x14ac:dyDescent="0.25">
      <c r="A52" s="120" t="s">
        <v>310</v>
      </c>
      <c r="B52" s="127"/>
      <c r="C52" s="108"/>
      <c r="D52" s="108"/>
      <c r="E52" s="108"/>
      <c r="F52" s="108"/>
      <c r="G52" s="108"/>
      <c r="H52" s="108"/>
      <c r="I52" s="108"/>
      <c r="J52" s="108"/>
      <c r="K52" s="108"/>
      <c r="L52" s="108"/>
      <c r="M52" s="108"/>
      <c r="N52" s="108"/>
      <c r="O52" s="108"/>
      <c r="P52" s="108"/>
      <c r="Q52" s="108"/>
      <c r="R52" s="108"/>
      <c r="S52" s="166"/>
      <c r="T52" s="166"/>
      <c r="U52" s="166"/>
      <c r="V52" s="108"/>
      <c r="W52" s="108"/>
      <c r="X52" s="108"/>
      <c r="Y52" s="108"/>
      <c r="Z52" s="108"/>
      <c r="AA52" s="108"/>
      <c r="AB52" s="130"/>
    </row>
    <row r="53" spans="1:84" s="105" customFormat="1" ht="11.5" x14ac:dyDescent="0.25">
      <c r="A53" s="134" t="s">
        <v>909</v>
      </c>
      <c r="B53" s="135">
        <f>[1]BW!$F$13</f>
        <v>16.175000000000001</v>
      </c>
      <c r="C53" s="108"/>
      <c r="D53" s="108"/>
      <c r="E53" s="108"/>
      <c r="F53" s="108"/>
      <c r="G53" s="108"/>
      <c r="H53" s="108"/>
      <c r="I53" s="108"/>
      <c r="J53" s="108"/>
      <c r="K53" s="108"/>
      <c r="L53" s="108"/>
      <c r="M53" s="108"/>
      <c r="N53" s="108"/>
      <c r="O53" s="108"/>
      <c r="P53" s="108"/>
      <c r="Q53" s="108"/>
      <c r="R53" s="167"/>
      <c r="S53" s="168">
        <f>U18*60</f>
        <v>35.571428571428569</v>
      </c>
      <c r="T53" s="168">
        <f>T48</f>
        <v>48.171428571428571</v>
      </c>
      <c r="U53" s="166">
        <v>1</v>
      </c>
      <c r="V53" s="108">
        <v>7</v>
      </c>
      <c r="W53" s="108">
        <v>52</v>
      </c>
      <c r="X53" s="108">
        <v>7</v>
      </c>
      <c r="Y53" s="108"/>
      <c r="Z53" s="108"/>
      <c r="AA53" s="108"/>
      <c r="AB53" s="130"/>
    </row>
    <row r="54" spans="1:84" s="105" customFormat="1" ht="11.5" x14ac:dyDescent="0.25">
      <c r="A54" s="134" t="s">
        <v>910</v>
      </c>
      <c r="B54" s="135">
        <f>[1]BW!$F$20</f>
        <v>41.99285714285714</v>
      </c>
      <c r="C54" s="108"/>
      <c r="D54" s="108"/>
      <c r="E54" s="108"/>
      <c r="F54" s="108"/>
      <c r="G54" s="108"/>
      <c r="H54" s="108"/>
      <c r="I54" s="108"/>
      <c r="J54" s="108"/>
      <c r="K54" s="108"/>
      <c r="L54" s="108"/>
      <c r="M54" s="108"/>
      <c r="N54" s="108"/>
      <c r="O54" s="108"/>
      <c r="P54" s="108"/>
      <c r="Q54" s="108"/>
      <c r="R54" s="167"/>
      <c r="S54" s="168">
        <f>U19*60</f>
        <v>40.571428571428569</v>
      </c>
      <c r="T54" s="168">
        <f>S54+(((4*16)+(3*30))/7)</f>
        <v>62.571428571428569</v>
      </c>
      <c r="U54" s="166">
        <v>1</v>
      </c>
      <c r="V54" s="108">
        <v>7</v>
      </c>
      <c r="W54" s="108">
        <v>52</v>
      </c>
      <c r="X54" s="108">
        <v>7</v>
      </c>
      <c r="Y54" s="108"/>
      <c r="Z54" s="108"/>
      <c r="AA54" s="108"/>
      <c r="AB54" s="130"/>
    </row>
    <row r="55" spans="1:84" s="105" customFormat="1" ht="11.5" x14ac:dyDescent="0.25">
      <c r="A55" s="121" t="s">
        <v>911</v>
      </c>
      <c r="B55" s="122">
        <f>[1]BW!$F$36</f>
        <v>63.49062499999998</v>
      </c>
      <c r="C55" s="111"/>
      <c r="D55" s="111"/>
      <c r="E55" s="111"/>
      <c r="F55" s="111"/>
      <c r="G55" s="111"/>
      <c r="H55" s="111"/>
      <c r="I55" s="111"/>
      <c r="J55" s="111"/>
      <c r="K55" s="111"/>
      <c r="L55" s="111"/>
      <c r="M55" s="111"/>
      <c r="N55" s="111"/>
      <c r="O55" s="111"/>
      <c r="P55" s="111"/>
      <c r="Q55" s="111"/>
      <c r="R55" s="163"/>
      <c r="S55" s="164">
        <f>U20*60</f>
        <v>52.8125</v>
      </c>
      <c r="T55" s="164">
        <f>S55+(((2*30)+(14*20))/16)</f>
        <v>74.0625</v>
      </c>
      <c r="U55" s="165">
        <v>1</v>
      </c>
      <c r="V55" s="111">
        <v>7</v>
      </c>
      <c r="W55" s="111">
        <v>52</v>
      </c>
      <c r="X55" s="111">
        <v>16</v>
      </c>
      <c r="Y55" s="111"/>
      <c r="Z55" s="111"/>
      <c r="AA55" s="111"/>
      <c r="AB55" s="145"/>
    </row>
    <row r="56" spans="1:84" s="105" customFormat="1" ht="11.5" x14ac:dyDescent="0.25">
      <c r="A56" s="134" t="s">
        <v>935</v>
      </c>
      <c r="B56" s="139"/>
      <c r="C56" s="146"/>
      <c r="D56" s="146"/>
      <c r="E56" s="146"/>
      <c r="F56" s="146"/>
      <c r="G56" s="146"/>
      <c r="H56" s="146"/>
      <c r="I56" s="146"/>
      <c r="J56" s="146"/>
      <c r="K56" s="146"/>
      <c r="L56" s="146"/>
      <c r="M56" s="108"/>
      <c r="N56" s="108"/>
      <c r="O56" s="108"/>
      <c r="P56" s="108"/>
      <c r="Q56" s="108"/>
      <c r="R56" s="108"/>
      <c r="S56" s="146">
        <f>((S53*$X53)+(S54*$X54)+(S55*$X55))/$X56</f>
        <v>45.93333333333333</v>
      </c>
      <c r="T56" s="168">
        <f>((T53*$X53)+(T54*$X54)+(T55*$X55))/$X56</f>
        <v>65.34</v>
      </c>
      <c r="U56" s="146">
        <v>1</v>
      </c>
      <c r="V56" s="146">
        <v>7</v>
      </c>
      <c r="W56" s="146">
        <v>52</v>
      </c>
      <c r="X56" s="146">
        <f>SUM(X53:X55)</f>
        <v>30</v>
      </c>
      <c r="Y56" s="146">
        <v>70</v>
      </c>
      <c r="Z56" s="108"/>
      <c r="AA56" s="108"/>
      <c r="AB56" s="130"/>
    </row>
    <row r="57" spans="1:84" s="105" customFormat="1" ht="11.5" x14ac:dyDescent="0.25">
      <c r="A57" s="134"/>
      <c r="B57" s="146"/>
      <c r="C57" s="146"/>
      <c r="D57" s="146"/>
      <c r="E57" s="146"/>
      <c r="F57" s="146"/>
      <c r="G57" s="146"/>
      <c r="H57" s="146"/>
      <c r="I57" s="146"/>
      <c r="J57" s="146"/>
      <c r="K57" s="146"/>
      <c r="L57" s="146"/>
      <c r="M57" s="108"/>
      <c r="N57" s="108"/>
      <c r="O57" s="108"/>
      <c r="P57" s="108"/>
      <c r="Q57" s="108"/>
      <c r="R57" s="167"/>
      <c r="S57" s="146"/>
      <c r="T57" s="146"/>
      <c r="U57" s="146"/>
      <c r="V57" s="146"/>
      <c r="W57" s="146"/>
      <c r="X57" s="146"/>
      <c r="Y57" s="146"/>
      <c r="Z57" s="146"/>
      <c r="AA57" s="146"/>
      <c r="AB57" s="154"/>
    </row>
    <row r="58" spans="1:84" s="105" customFormat="1" ht="11.5" x14ac:dyDescent="0.25">
      <c r="A58" s="121" t="s">
        <v>28</v>
      </c>
      <c r="B58" s="111"/>
      <c r="C58" s="111">
        <v>1</v>
      </c>
      <c r="D58" s="111">
        <v>2</v>
      </c>
      <c r="E58" s="163">
        <v>8.2000000000000001E-5</v>
      </c>
      <c r="F58" s="111">
        <v>3000</v>
      </c>
      <c r="G58" s="111">
        <v>20</v>
      </c>
      <c r="H58" s="111">
        <v>293</v>
      </c>
      <c r="I58" s="111">
        <v>1.002</v>
      </c>
      <c r="J58" s="111">
        <v>0.59599999999999997</v>
      </c>
      <c r="K58" s="163">
        <f>1/(60*24)</f>
        <v>6.9444444444444447E-4</v>
      </c>
      <c r="L58" s="111">
        <v>1E-3</v>
      </c>
      <c r="M58" s="111">
        <v>293</v>
      </c>
      <c r="N58" s="111">
        <v>318</v>
      </c>
      <c r="O58" s="111">
        <v>0.59599999999999997</v>
      </c>
      <c r="P58" s="111">
        <v>10</v>
      </c>
      <c r="Q58" s="111">
        <v>6</v>
      </c>
      <c r="R58" s="163">
        <v>8.3333333299999996E-3</v>
      </c>
      <c r="S58" s="111"/>
      <c r="T58" s="111"/>
      <c r="U58" s="111"/>
      <c r="V58" s="111"/>
      <c r="W58" s="111"/>
      <c r="X58" s="111"/>
      <c r="Y58" s="111"/>
      <c r="Z58" s="131">
        <v>1000</v>
      </c>
      <c r="AA58" s="169">
        <f>1/365</f>
        <v>2.7397260273972603E-3</v>
      </c>
      <c r="AB58" s="170">
        <f>1/(60*24*7*52)</f>
        <v>1.9078144078144078E-6</v>
      </c>
    </row>
    <row r="59" spans="1:84" s="105" customFormat="1" ht="11.5" x14ac:dyDescent="0.25">
      <c r="A59" s="134"/>
      <c r="B59" s="146"/>
      <c r="C59" s="146"/>
      <c r="D59" s="146"/>
      <c r="E59" s="146"/>
      <c r="F59" s="146"/>
      <c r="G59" s="146"/>
      <c r="H59" s="146"/>
      <c r="I59" s="146"/>
      <c r="J59" s="146"/>
      <c r="K59" s="146"/>
      <c r="L59" s="146"/>
      <c r="M59" s="108"/>
      <c r="N59" s="108"/>
      <c r="O59" s="108"/>
      <c r="P59" s="108"/>
      <c r="Q59" s="108"/>
      <c r="R59" s="167"/>
      <c r="S59" s="146"/>
      <c r="T59" s="146"/>
      <c r="U59" s="146"/>
      <c r="V59" s="146"/>
      <c r="W59" s="146"/>
      <c r="X59" s="146"/>
      <c r="Y59" s="146"/>
      <c r="Z59" s="146"/>
      <c r="AA59" s="146"/>
      <c r="AB59" s="154"/>
    </row>
    <row r="60" spans="1:84" s="105" customFormat="1" ht="11.5" x14ac:dyDescent="0.25">
      <c r="A60" s="117" t="s">
        <v>907</v>
      </c>
      <c r="B60" s="146"/>
      <c r="C60" s="146"/>
      <c r="D60" s="146"/>
      <c r="E60" s="146"/>
      <c r="F60" s="146"/>
      <c r="G60" s="146"/>
      <c r="H60" s="146"/>
      <c r="I60" s="146"/>
      <c r="J60" s="146"/>
      <c r="K60" s="146"/>
      <c r="L60" s="146"/>
      <c r="M60" s="108"/>
      <c r="N60" s="108"/>
      <c r="O60" s="108"/>
      <c r="P60" s="108"/>
      <c r="Q60" s="108"/>
      <c r="R60" s="167"/>
      <c r="S60" s="146"/>
      <c r="T60" s="146"/>
      <c r="U60" s="146"/>
      <c r="V60" s="146"/>
      <c r="W60" s="146"/>
      <c r="X60" s="146"/>
      <c r="Y60" s="146"/>
      <c r="Z60" s="146"/>
      <c r="AA60" s="146"/>
      <c r="AB60" s="154"/>
    </row>
    <row r="61" spans="1:84" s="105" customFormat="1" ht="11.5" x14ac:dyDescent="0.25">
      <c r="A61" s="134"/>
      <c r="B61" s="146"/>
      <c r="C61" s="146"/>
      <c r="D61" s="146"/>
      <c r="E61" s="146"/>
      <c r="F61" s="146"/>
      <c r="G61" s="146"/>
      <c r="H61" s="146"/>
      <c r="I61" s="146"/>
      <c r="J61" s="146"/>
      <c r="K61" s="146"/>
      <c r="L61" s="146"/>
      <c r="M61" s="108"/>
      <c r="N61" s="108"/>
      <c r="O61" s="108"/>
      <c r="P61" s="108"/>
      <c r="Q61" s="108"/>
      <c r="R61" s="167"/>
      <c r="S61" s="146"/>
      <c r="T61" s="146"/>
      <c r="U61" s="146"/>
      <c r="V61" s="146"/>
      <c r="W61" s="146"/>
      <c r="X61" s="146"/>
      <c r="Y61" s="146"/>
      <c r="Z61" s="146"/>
      <c r="AA61" s="146"/>
      <c r="AB61" s="154"/>
    </row>
    <row r="62" spans="1:84" s="172" customFormat="1" ht="11.5" x14ac:dyDescent="0.25">
      <c r="A62" s="171" t="s">
        <v>310</v>
      </c>
      <c r="B62" s="131"/>
      <c r="C62" s="131"/>
      <c r="D62" s="131"/>
      <c r="E62" s="131"/>
      <c r="F62" s="131"/>
      <c r="G62" s="131"/>
      <c r="H62" s="131"/>
      <c r="I62" s="131"/>
      <c r="J62" s="131"/>
      <c r="K62" s="131"/>
      <c r="L62" s="131"/>
      <c r="M62" s="111"/>
      <c r="N62" s="111"/>
      <c r="O62" s="111"/>
      <c r="P62" s="111"/>
      <c r="Q62" s="111"/>
      <c r="R62" s="163"/>
      <c r="S62" s="131"/>
      <c r="T62" s="131"/>
      <c r="U62" s="131"/>
      <c r="V62" s="131"/>
      <c r="W62" s="131"/>
      <c r="X62" s="131"/>
      <c r="Y62" s="131"/>
      <c r="Z62" s="131"/>
      <c r="AA62" s="131"/>
      <c r="AB62" s="132"/>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row>
    <row r="63" spans="1:84" s="105" customFormat="1" ht="11.5" x14ac:dyDescent="0.25">
      <c r="A63" s="134" t="s">
        <v>905</v>
      </c>
      <c r="B63" s="135">
        <f>[1]BW!$I$11</f>
        <v>9.5625</v>
      </c>
      <c r="C63" s="108">
        <v>1</v>
      </c>
      <c r="D63" s="108">
        <v>2</v>
      </c>
      <c r="E63" s="167">
        <v>8.2000000000000001E-5</v>
      </c>
      <c r="F63" s="108">
        <v>3000</v>
      </c>
      <c r="G63" s="108">
        <v>20</v>
      </c>
      <c r="H63" s="108">
        <v>293</v>
      </c>
      <c r="I63" s="108">
        <v>1.002</v>
      </c>
      <c r="J63" s="108">
        <v>0.59599999999999997</v>
      </c>
      <c r="K63" s="167">
        <f>1/(60*24)</f>
        <v>6.9444444444444447E-4</v>
      </c>
      <c r="L63" s="108">
        <v>1E-3</v>
      </c>
      <c r="M63" s="108">
        <v>293</v>
      </c>
      <c r="N63" s="108">
        <v>318</v>
      </c>
      <c r="O63" s="108">
        <v>0.59599999999999997</v>
      </c>
      <c r="P63" s="108">
        <v>10</v>
      </c>
      <c r="Q63" s="108">
        <v>6</v>
      </c>
      <c r="R63" s="167">
        <v>8.3333333299999996E-3</v>
      </c>
      <c r="S63" s="168">
        <f>U26*60</f>
        <v>31.000000000000004</v>
      </c>
      <c r="T63" s="168">
        <f>S63+((10+16)/2)</f>
        <v>44</v>
      </c>
      <c r="U63" s="166">
        <v>1</v>
      </c>
      <c r="V63" s="108">
        <v>7</v>
      </c>
      <c r="W63" s="108">
        <v>52</v>
      </c>
      <c r="X63" s="108">
        <v>2</v>
      </c>
      <c r="Y63" s="146">
        <v>70</v>
      </c>
      <c r="Z63" s="146">
        <v>1000</v>
      </c>
      <c r="AA63" s="173">
        <f>1/365</f>
        <v>2.7397260273972603E-3</v>
      </c>
      <c r="AB63" s="174">
        <f>1/(60*24*7*52)</f>
        <v>1.9078144078144078E-6</v>
      </c>
    </row>
    <row r="64" spans="1:84" s="105" customFormat="1" ht="11.5" x14ac:dyDescent="0.25">
      <c r="A64" s="134" t="s">
        <v>908</v>
      </c>
      <c r="B64" s="135">
        <f>[1]BW!$I$14</f>
        <v>17.55</v>
      </c>
      <c r="C64" s="108">
        <v>1</v>
      </c>
      <c r="D64" s="108">
        <v>2</v>
      </c>
      <c r="E64" s="167">
        <v>8.2000000000000001E-5</v>
      </c>
      <c r="F64" s="108">
        <v>3000</v>
      </c>
      <c r="G64" s="108">
        <v>20</v>
      </c>
      <c r="H64" s="108">
        <v>293</v>
      </c>
      <c r="I64" s="108">
        <v>1.002</v>
      </c>
      <c r="J64" s="108">
        <v>0.59599999999999997</v>
      </c>
      <c r="K64" s="167">
        <f>1/(60*24)</f>
        <v>6.9444444444444447E-4</v>
      </c>
      <c r="L64" s="108">
        <v>1E-3</v>
      </c>
      <c r="M64" s="108">
        <v>293</v>
      </c>
      <c r="N64" s="108">
        <v>318</v>
      </c>
      <c r="O64" s="108">
        <v>0.59599999999999997</v>
      </c>
      <c r="P64" s="108">
        <v>10</v>
      </c>
      <c r="Q64" s="108">
        <v>6</v>
      </c>
      <c r="R64" s="167">
        <v>8.3333333299999996E-3</v>
      </c>
      <c r="S64" s="168">
        <f t="shared" ref="S64:S66" si="2">U27*60</f>
        <v>36.5</v>
      </c>
      <c r="T64" s="168">
        <f>S64+((12+(20*3))/4)</f>
        <v>54.5</v>
      </c>
      <c r="U64" s="166">
        <v>1</v>
      </c>
      <c r="V64" s="108">
        <v>7</v>
      </c>
      <c r="W64" s="108">
        <v>52</v>
      </c>
      <c r="X64" s="108">
        <v>4</v>
      </c>
      <c r="Y64" s="146">
        <v>70</v>
      </c>
      <c r="Z64" s="146">
        <v>1000</v>
      </c>
      <c r="AA64" s="173">
        <f>1/365</f>
        <v>2.7397260273972603E-3</v>
      </c>
      <c r="AB64" s="175">
        <f>1/(60*24*7*52)</f>
        <v>1.9078144078144078E-6</v>
      </c>
    </row>
    <row r="65" spans="1:28" s="105" customFormat="1" ht="11.5" x14ac:dyDescent="0.25">
      <c r="A65" s="134" t="s">
        <v>903</v>
      </c>
      <c r="B65" s="135">
        <f>[1]BW!$I$17</f>
        <v>43.204999999999998</v>
      </c>
      <c r="C65" s="108">
        <v>1</v>
      </c>
      <c r="D65" s="108">
        <v>2</v>
      </c>
      <c r="E65" s="167">
        <v>8.2000000000000001E-5</v>
      </c>
      <c r="F65" s="108">
        <v>3000</v>
      </c>
      <c r="G65" s="108">
        <v>20</v>
      </c>
      <c r="H65" s="108">
        <v>293</v>
      </c>
      <c r="I65" s="108">
        <v>1.002</v>
      </c>
      <c r="J65" s="108">
        <v>0.59599999999999997</v>
      </c>
      <c r="K65" s="167">
        <f>1/(60*24)</f>
        <v>6.9444444444444447E-4</v>
      </c>
      <c r="L65" s="108">
        <v>1E-3</v>
      </c>
      <c r="M65" s="108">
        <v>293</v>
      </c>
      <c r="N65" s="108">
        <v>318</v>
      </c>
      <c r="O65" s="108">
        <v>0.59599999999999997</v>
      </c>
      <c r="P65" s="108">
        <v>10</v>
      </c>
      <c r="Q65" s="108">
        <v>6</v>
      </c>
      <c r="R65" s="167">
        <v>8.3333333299999996E-3</v>
      </c>
      <c r="S65" s="168">
        <f t="shared" si="2"/>
        <v>40.5</v>
      </c>
      <c r="T65" s="168">
        <f>S65+(((5*16)+(5*30))/10)</f>
        <v>63.5</v>
      </c>
      <c r="U65" s="166">
        <v>1</v>
      </c>
      <c r="V65" s="108">
        <v>7</v>
      </c>
      <c r="W65" s="108">
        <v>52</v>
      </c>
      <c r="X65" s="108">
        <v>10</v>
      </c>
      <c r="Y65" s="146">
        <v>70</v>
      </c>
      <c r="Z65" s="146">
        <v>1000</v>
      </c>
      <c r="AA65" s="173">
        <f>1/365</f>
        <v>2.7397260273972603E-3</v>
      </c>
      <c r="AB65" s="175">
        <f>1/(60*24*7*52)</f>
        <v>1.9078144078144078E-6</v>
      </c>
    </row>
    <row r="66" spans="1:28" s="105" customFormat="1" ht="11.5" x14ac:dyDescent="0.25">
      <c r="A66" s="121" t="s">
        <v>904</v>
      </c>
      <c r="B66" s="122">
        <f>[1]BW!$I$38</f>
        <v>64.789999999999992</v>
      </c>
      <c r="C66" s="111">
        <v>1</v>
      </c>
      <c r="D66" s="111">
        <v>2</v>
      </c>
      <c r="E66" s="163">
        <v>8.2000000000000001E-5</v>
      </c>
      <c r="F66" s="111">
        <v>3000</v>
      </c>
      <c r="G66" s="111">
        <v>20</v>
      </c>
      <c r="H66" s="111">
        <v>293</v>
      </c>
      <c r="I66" s="111">
        <v>1.002</v>
      </c>
      <c r="J66" s="111">
        <v>0.59599999999999997</v>
      </c>
      <c r="K66" s="163">
        <f>1/(60*24)</f>
        <v>6.9444444444444447E-4</v>
      </c>
      <c r="L66" s="111">
        <v>1E-3</v>
      </c>
      <c r="M66" s="111">
        <v>293</v>
      </c>
      <c r="N66" s="111">
        <v>318</v>
      </c>
      <c r="O66" s="111">
        <v>0.59599999999999997</v>
      </c>
      <c r="P66" s="111">
        <v>10</v>
      </c>
      <c r="Q66" s="111">
        <v>6</v>
      </c>
      <c r="R66" s="163">
        <v>8.3333333299999996E-3</v>
      </c>
      <c r="S66" s="164">
        <f t="shared" si="2"/>
        <v>54.642857142857146</v>
      </c>
      <c r="T66" s="164">
        <f>S66+(((16*20))/16)</f>
        <v>74.642857142857139</v>
      </c>
      <c r="U66" s="165">
        <v>1</v>
      </c>
      <c r="V66" s="111">
        <v>7</v>
      </c>
      <c r="W66" s="111">
        <v>52</v>
      </c>
      <c r="X66" s="111">
        <v>14</v>
      </c>
      <c r="Y66" s="131">
        <v>70</v>
      </c>
      <c r="Z66" s="131">
        <v>1000</v>
      </c>
      <c r="AA66" s="169">
        <f>1/365</f>
        <v>2.7397260273972603E-3</v>
      </c>
      <c r="AB66" s="170">
        <f>1/(60*24*7*52)</f>
        <v>1.9078144078144078E-6</v>
      </c>
    </row>
    <row r="67" spans="1:28" x14ac:dyDescent="0.25">
      <c r="A67" s="6"/>
      <c r="B67" s="20"/>
      <c r="C67" s="20"/>
      <c r="D67" s="20"/>
      <c r="E67" s="20"/>
      <c r="F67" s="20"/>
      <c r="G67" s="20"/>
      <c r="H67" s="20"/>
      <c r="I67" s="20"/>
      <c r="J67" s="20"/>
      <c r="K67" s="20"/>
      <c r="L67" s="20"/>
      <c r="M67" s="10"/>
      <c r="N67" s="10"/>
      <c r="O67" s="10"/>
      <c r="P67" s="10"/>
      <c r="Q67" s="10"/>
      <c r="R67" s="23"/>
      <c r="S67" s="20"/>
      <c r="T67" s="20"/>
      <c r="U67" s="20"/>
      <c r="V67" s="20"/>
      <c r="W67" s="20"/>
      <c r="X67" s="20"/>
      <c r="Y67" s="20"/>
      <c r="Z67" s="20"/>
      <c r="AA67" s="20"/>
      <c r="AB67" s="14"/>
    </row>
    <row r="68" spans="1:28" x14ac:dyDescent="0.25">
      <c r="A68" s="11"/>
      <c r="B68" s="4"/>
      <c r="C68" s="4"/>
      <c r="D68" s="4"/>
      <c r="E68" s="22"/>
      <c r="F68" s="4"/>
      <c r="G68" s="4"/>
      <c r="H68" s="4"/>
      <c r="I68" s="4"/>
      <c r="J68" s="4"/>
      <c r="K68" s="22"/>
      <c r="L68" s="4"/>
      <c r="M68" s="4"/>
      <c r="N68" s="4"/>
      <c r="O68" s="4"/>
      <c r="P68" s="4"/>
      <c r="Q68" s="4"/>
      <c r="R68" s="22"/>
      <c r="S68" s="4"/>
      <c r="T68" s="4"/>
      <c r="U68" s="4"/>
      <c r="V68" s="4"/>
      <c r="W68" s="4"/>
      <c r="X68" s="4"/>
      <c r="Y68" s="4"/>
      <c r="Z68" s="18"/>
      <c r="AA68" s="15"/>
      <c r="AB68" s="16"/>
    </row>
    <row r="69" spans="1:28" x14ac:dyDescent="0.25">
      <c r="B69" s="13"/>
    </row>
    <row r="70" spans="1:28" x14ac:dyDescent="0.25">
      <c r="B70" s="13"/>
    </row>
    <row r="71" spans="1:28" x14ac:dyDescent="0.25">
      <c r="B71" s="13"/>
    </row>
    <row r="73" spans="1:28" x14ac:dyDescent="0.25">
      <c r="B73" s="13"/>
    </row>
    <row r="74" spans="1:28" x14ac:dyDescent="0.25">
      <c r="B74" s="13"/>
    </row>
    <row r="75" spans="1:28" x14ac:dyDescent="0.25">
      <c r="B75" s="13"/>
      <c r="U75" s="1" t="s">
        <v>490</v>
      </c>
    </row>
    <row r="76" spans="1:28" x14ac:dyDescent="0.25">
      <c r="B76" s="13"/>
    </row>
    <row r="77" spans="1:28" x14ac:dyDescent="0.25">
      <c r="B77" s="13"/>
    </row>
  </sheetData>
  <sheetProtection sheet="1" objects="1" scenarios="1"/>
  <phoneticPr fontId="0" type="noConversion"/>
  <pageMargins left="0.5" right="0.5" top="1" bottom="1" header="0.5" footer="0.4"/>
  <pageSetup scale="6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rowBreaks count="1" manualBreakCount="1">
    <brk id="37" max="16383" man="1"/>
  </rowBreaks>
  <colBreaks count="1" manualBreakCount="1">
    <brk id="11"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130"/>
  <sheetViews>
    <sheetView showZeros="0" zoomScaleNormal="100" workbookViewId="0">
      <pane xSplit="1" ySplit="6" topLeftCell="I7" activePane="bottomRight" state="frozen"/>
      <selection activeCell="C3" sqref="C3"/>
      <selection pane="topRight" activeCell="C3" sqref="C3"/>
      <selection pane="bottomLeft" activeCell="C3" sqref="C3"/>
      <selection pane="bottomRight" activeCell="A7" sqref="A7"/>
    </sheetView>
  </sheetViews>
  <sheetFormatPr defaultColWidth="9" defaultRowHeight="12.5" x14ac:dyDescent="0.25"/>
  <cols>
    <col min="1" max="1" width="22.33203125" style="67" customWidth="1"/>
    <col min="2" max="2" width="11" style="67" bestFit="1" customWidth="1"/>
    <col min="3" max="3" width="8.75" style="67" bestFit="1" customWidth="1"/>
    <col min="4" max="4" width="9.25" style="67" bestFit="1" customWidth="1"/>
    <col min="5" max="5" width="8.75" style="67" bestFit="1" customWidth="1"/>
    <col min="6" max="6" width="9.58203125" style="67" bestFit="1" customWidth="1"/>
    <col min="7" max="8" width="6.25" style="67" bestFit="1" customWidth="1"/>
    <col min="9" max="9" width="12.08203125" style="67" bestFit="1" customWidth="1"/>
    <col min="10" max="10" width="9.75" style="67" bestFit="1" customWidth="1"/>
    <col min="11" max="11" width="10.08203125" style="67" bestFit="1" customWidth="1"/>
    <col min="12" max="12" width="7.4140625" style="67" bestFit="1" customWidth="1"/>
    <col min="13" max="13" width="12.08203125" style="67" bestFit="1" customWidth="1"/>
    <col min="14" max="14" width="9.75" style="67" bestFit="1" customWidth="1"/>
    <col min="15" max="15" width="13.9140625" style="67" bestFit="1" customWidth="1"/>
    <col min="16" max="16" width="12.25" style="67" bestFit="1" customWidth="1"/>
    <col min="17" max="17" width="12.33203125" style="67" customWidth="1"/>
    <col min="18" max="18" width="8" style="67" bestFit="1" customWidth="1"/>
    <col min="19" max="19" width="9.75" style="67" customWidth="1"/>
    <col min="20" max="20" width="10.33203125" style="358" customWidth="1"/>
    <col min="21" max="21" width="8.9140625" style="67" customWidth="1"/>
    <col min="22" max="22" width="8.9140625" style="837" customWidth="1"/>
    <col min="23" max="27" width="0" style="67" hidden="1" customWidth="1"/>
    <col min="28" max="29" width="12" style="358" bestFit="1" customWidth="1"/>
    <col min="30" max="31" width="9" style="358"/>
    <col min="32" max="16384" width="9" style="67"/>
  </cols>
  <sheetData>
    <row r="1" spans="1:31" ht="31.75" customHeight="1" thickTop="1" x14ac:dyDescent="0.25">
      <c r="A1" s="913" t="s">
        <v>39</v>
      </c>
      <c r="B1" s="584"/>
      <c r="C1" s="580"/>
      <c r="D1" s="589" t="s">
        <v>40</v>
      </c>
      <c r="E1" s="589" t="s">
        <v>41</v>
      </c>
      <c r="F1" s="549"/>
      <c r="G1" s="580"/>
      <c r="H1" s="590"/>
      <c r="I1" s="608"/>
      <c r="J1" s="63"/>
      <c r="K1" s="546"/>
      <c r="L1" s="549"/>
      <c r="M1" s="918" t="s">
        <v>50</v>
      </c>
      <c r="N1" s="919"/>
      <c r="O1" s="560"/>
      <c r="P1" s="546"/>
      <c r="Q1" s="611" t="s">
        <v>38</v>
      </c>
      <c r="R1" s="915"/>
      <c r="S1" s="916"/>
      <c r="T1" s="917"/>
      <c r="AB1" s="840"/>
      <c r="AC1" s="841"/>
      <c r="AD1" s="841"/>
      <c r="AE1" s="842"/>
    </row>
    <row r="2" spans="1:31" ht="20.399999999999999" customHeight="1" x14ac:dyDescent="0.25">
      <c r="A2" s="914"/>
      <c r="B2" s="603" t="s">
        <v>42</v>
      </c>
      <c r="C2" s="421" t="s">
        <v>43</v>
      </c>
      <c r="D2" s="421" t="s">
        <v>44</v>
      </c>
      <c r="E2" s="421" t="s">
        <v>45</v>
      </c>
      <c r="F2" s="550"/>
      <c r="G2" s="581"/>
      <c r="H2" s="591"/>
      <c r="I2" s="908"/>
      <c r="J2" s="909"/>
      <c r="K2" s="559"/>
      <c r="L2" s="550"/>
      <c r="M2" s="910" t="s">
        <v>93</v>
      </c>
      <c r="N2" s="890"/>
      <c r="O2" s="558"/>
      <c r="P2" s="559"/>
      <c r="Q2" s="432" t="s">
        <v>79</v>
      </c>
      <c r="R2" s="467"/>
      <c r="S2" s="73"/>
      <c r="T2" s="536"/>
      <c r="AB2" s="843"/>
      <c r="AE2" s="844"/>
    </row>
    <row r="3" spans="1:31" ht="30.65" customHeight="1" x14ac:dyDescent="0.25">
      <c r="A3" s="914"/>
      <c r="B3" s="603" t="s">
        <v>46</v>
      </c>
      <c r="C3" s="421" t="s">
        <v>47</v>
      </c>
      <c r="D3" s="421" t="s">
        <v>48</v>
      </c>
      <c r="E3" s="421" t="s">
        <v>49</v>
      </c>
      <c r="F3" s="550"/>
      <c r="G3" s="581"/>
      <c r="H3" s="591"/>
      <c r="I3" s="906" t="s">
        <v>50</v>
      </c>
      <c r="J3" s="907"/>
      <c r="K3" s="433" t="s">
        <v>80</v>
      </c>
      <c r="L3" s="421"/>
      <c r="M3" s="910" t="s">
        <v>92</v>
      </c>
      <c r="N3" s="890"/>
      <c r="O3" s="432"/>
      <c r="P3" s="433"/>
      <c r="Q3" s="432" t="s">
        <v>81</v>
      </c>
      <c r="R3" s="926" t="s">
        <v>993</v>
      </c>
      <c r="S3" s="927"/>
      <c r="T3" s="928"/>
      <c r="AB3" s="923" t="s">
        <v>1062</v>
      </c>
      <c r="AC3" s="924"/>
      <c r="AD3" s="924"/>
      <c r="AE3" s="925"/>
    </row>
    <row r="4" spans="1:31" x14ac:dyDescent="0.25">
      <c r="A4" s="914"/>
      <c r="B4" s="603" t="s">
        <v>52</v>
      </c>
      <c r="C4" s="421" t="s">
        <v>53</v>
      </c>
      <c r="D4" s="421" t="s">
        <v>54</v>
      </c>
      <c r="E4" s="421" t="s">
        <v>55</v>
      </c>
      <c r="F4" s="581" t="s">
        <v>56</v>
      </c>
      <c r="G4" s="581"/>
      <c r="H4" s="591"/>
      <c r="I4" s="906" t="s">
        <v>93</v>
      </c>
      <c r="J4" s="907"/>
      <c r="K4" s="433" t="s">
        <v>82</v>
      </c>
      <c r="L4" s="421" t="s">
        <v>83</v>
      </c>
      <c r="M4" s="910" t="s">
        <v>86</v>
      </c>
      <c r="N4" s="912"/>
      <c r="O4" s="910" t="s">
        <v>51</v>
      </c>
      <c r="P4" s="890"/>
      <c r="Q4" s="432" t="s">
        <v>446</v>
      </c>
      <c r="R4" s="612"/>
      <c r="S4" s="98"/>
      <c r="T4" s="578"/>
      <c r="AB4" s="920" t="s">
        <v>983</v>
      </c>
      <c r="AC4" s="921"/>
      <c r="AD4" s="921"/>
      <c r="AE4" s="922"/>
    </row>
    <row r="5" spans="1:31" ht="31.5" x14ac:dyDescent="0.25">
      <c r="A5" s="537"/>
      <c r="B5" s="603" t="s">
        <v>57</v>
      </c>
      <c r="C5" s="421"/>
      <c r="D5" s="421" t="s">
        <v>58</v>
      </c>
      <c r="E5" s="421" t="s">
        <v>56</v>
      </c>
      <c r="F5" s="581" t="s">
        <v>59</v>
      </c>
      <c r="G5" s="581"/>
      <c r="H5" s="591"/>
      <c r="I5" s="906" t="s">
        <v>92</v>
      </c>
      <c r="J5" s="907"/>
      <c r="K5" s="433" t="s">
        <v>84</v>
      </c>
      <c r="L5" s="421" t="s">
        <v>85</v>
      </c>
      <c r="M5" s="911" t="s">
        <v>449</v>
      </c>
      <c r="N5" s="912"/>
      <c r="O5" s="910" t="s">
        <v>87</v>
      </c>
      <c r="P5" s="890"/>
      <c r="Q5" s="432" t="s">
        <v>90</v>
      </c>
      <c r="R5" s="603" t="s">
        <v>27</v>
      </c>
      <c r="S5" s="421" t="s">
        <v>980</v>
      </c>
      <c r="T5" s="571" t="s">
        <v>1036</v>
      </c>
      <c r="AB5" s="838" t="s">
        <v>1058</v>
      </c>
      <c r="AC5" s="837" t="s">
        <v>1059</v>
      </c>
      <c r="AD5" s="837" t="s">
        <v>1060</v>
      </c>
      <c r="AE5" s="839" t="s">
        <v>1061</v>
      </c>
    </row>
    <row r="6" spans="1:31" ht="23" x14ac:dyDescent="0.25">
      <c r="A6" s="538" t="s">
        <v>1057</v>
      </c>
      <c r="B6" s="585" t="s">
        <v>60</v>
      </c>
      <c r="C6" s="421" t="s">
        <v>61</v>
      </c>
      <c r="D6" s="421" t="s">
        <v>62</v>
      </c>
      <c r="E6" s="421" t="s">
        <v>61</v>
      </c>
      <c r="F6" s="581" t="s">
        <v>63</v>
      </c>
      <c r="G6" s="581" t="s">
        <v>64</v>
      </c>
      <c r="H6" s="591" t="s">
        <v>65</v>
      </c>
      <c r="I6" s="609" t="s">
        <v>27</v>
      </c>
      <c r="J6" s="610" t="s">
        <v>264</v>
      </c>
      <c r="K6" s="433" t="s">
        <v>88</v>
      </c>
      <c r="L6" s="421" t="s">
        <v>89</v>
      </c>
      <c r="M6" s="566" t="s">
        <v>27</v>
      </c>
      <c r="N6" s="568" t="s">
        <v>264</v>
      </c>
      <c r="O6" s="568" t="s">
        <v>1034</v>
      </c>
      <c r="P6" s="567" t="s">
        <v>1035</v>
      </c>
      <c r="Q6" s="558" t="s">
        <v>447</v>
      </c>
      <c r="R6" s="603" t="s">
        <v>157</v>
      </c>
      <c r="S6" s="421" t="s">
        <v>157</v>
      </c>
      <c r="T6" s="571" t="s">
        <v>157</v>
      </c>
      <c r="AB6" s="843"/>
      <c r="AE6" s="844"/>
    </row>
    <row r="7" spans="1:31" x14ac:dyDescent="0.25">
      <c r="A7" s="539" t="s">
        <v>158</v>
      </c>
      <c r="B7" s="586">
        <f>(VLOOKUP(A7,[1]!TOX,67,FALSE))*(SQRT((VLOOKUP(A7,[1]!TOX,57,FALSE)))/2.6)</f>
        <v>0.40140891391334332</v>
      </c>
      <c r="C7" s="592">
        <f>('GW-1 Exp'!$O$29^2)/(6*D7)</f>
        <v>0.76603524111000232</v>
      </c>
      <c r="D7" s="569">
        <f>10^(-2.8-(0.0056*(VLOOKUP(A7,[1]!TOX,57,FALSE))))*'GW-1 Exp'!$O$29</f>
        <v>2.1757049509257941E-7</v>
      </c>
      <c r="E7" s="593">
        <f>IF($B7=0,0,IF(B7&lt;=0.6,2.4*C7,F7))</f>
        <v>1.8384845786640054</v>
      </c>
      <c r="F7" s="593">
        <f>IF(B7&lt;=0.6,0,(G7-SQRT(G7^2-H7^2))*('GW-1 Exp'!$O$29^2/D7))</f>
        <v>0</v>
      </c>
      <c r="G7" s="594">
        <f>(2*(1+B7)^2/PI())-H7</f>
        <v>0.61102267473536342</v>
      </c>
      <c r="H7" s="595">
        <f>(1+ (3*B7) + 3*B7^2)/(3*(1+B7))</f>
        <v>0.63926478169323475</v>
      </c>
      <c r="I7" s="604">
        <f>IF('GW-1 Exp'!$U$13&lt;=$E7,2*(VLOOKUP(A7,[1]!TOX,67,FALSE))*1*0.000001*SQRT(6*$C7*'GW-1 Exp'!$U$13/PI()),(VLOOKUP(A7,[1]!TOX,67,FALSE))*1*0.000001*('GW-1 Exp'!$U$13/(1+$B7)+2*$C7*(1+3*$B7+3*$B7^2)/(1+$B7)^2))</f>
        <v>1.5664988762328711E-7</v>
      </c>
      <c r="J7" s="605">
        <f>IF('GW-1 Exp'!$U$21&lt;=$E7,2*(VLOOKUP(A7,[1]!TOX,67,FALSE))*1*0.000001*SQRT(6*$C7*'GW-1 Exp'!$U$21/PI()),(VLOOKUP(A7,[1]!TOX,67,FALSE))*1*0.000001*('GW-1 Exp'!$U$21/(1+$B7)+2*$C7*(1+3*$B7+3*$B7^2)/(1+$B7)^2))</f>
        <v>1.7800959641354119E-7</v>
      </c>
      <c r="K7" s="548"/>
      <c r="L7" s="553">
        <v>1</v>
      </c>
      <c r="M7" s="547">
        <f>I7*L7</f>
        <v>1.5664988762328711E-7</v>
      </c>
      <c r="N7" s="551">
        <f>J7*L7</f>
        <v>1.7800959641354119E-7</v>
      </c>
      <c r="O7" s="569" t="str">
        <f>IF(VLOOKUP(A7,[1]!TOX,81,FALSE)="Y","Inorganic",IF(K7="*","Streamlined",IF($E7=0,"Reduced Steady State",IF('GW-1 Exp'!$U$13&lt;=$E7,"Non-Steady State","Steady State"))))</f>
        <v>Non-Steady State</v>
      </c>
      <c r="P7" s="562" t="str">
        <f>IF(VLOOKUP(A7,[1]!TOX,81,FALSE)="Y","Inorganic",IF(K7="*","Streamlined",IF($E7=0,0,IF('GW-1 Exp'!$U$21&lt;=$E7,"Non-Steady State","Steady State"))))</f>
        <v>Non-Steady State</v>
      </c>
      <c r="Q7" s="561">
        <f>IF(K7=0,0,IF((VLOOKUP(A7,[1]!TOX,67,FALSE))=0,0,IF((VLOOKUP(A7,[1]!TOX,67,FALSE))&lt;0.5,0.2,1)))</f>
        <v>0</v>
      </c>
      <c r="R7" s="613">
        <f>IF(K7=0,IF(M7=0,0,('[1]Target Risk'!$D$8*(VLOOKUP(A7,[1]!TOX,4,FALSE))*(VLOOKUP(A7,[1]!TOX,37,FALSE)))/('GW-1 Exp'!$V$13*'GW-1 Derm'!$M7)),('[1]Target Risk'!$D$8*(VLOOKUP(A7,[1]!TOX,4,FALSE))*(VLOOKUP(A7,[1]!TOX,37,FALSE)))/('GW-1 Exp'!$J$18*'GW-1 Derm'!$Q7))</f>
        <v>173.52709677362193</v>
      </c>
      <c r="S7" s="572">
        <f>IF(OR(VLOOKUP(A7,[1]!TOX,12,FALSE)=0,VLOOKUP(A7,[1]!TOX,38,FALSE)=0),0,IF(K7=0,('[1]Target Risk'!$D$12*(VLOOKUP(A7,[1]!TOX,38,FALSE)))/('GW-1 Exp'!$V$21*'GW-1 Derm'!N7*(VLOOKUP(A7,[1]!TOX,12,FALSE))),IF(Q7=0,0,('[1]Target Risk'!$D$12*(VLOOKUP(A7,[1]!TOX,38,FALSE)))/('GW-1 Exp'!$J$26*'GW-1 Derm'!Q7*(VLOOKUP(A7,[1]!TOX,12,FALSE))))))</f>
        <v>0</v>
      </c>
      <c r="T7" s="573">
        <f>IF(OR(VLOOKUP(A7,[1]!TOX,12,FALSE)=0,VLOOKUP(A7,[1]!TOX,38,FALSE)=0),0,IF(NOT(VLOOKUP(A7,[1]!TOX,36,FALSE)="M"), IF(K7=0,('[1]Target Risk'!$D$12*(VLOOKUP(A7,[1]!TOX,38,FALSE)))/('GW-1 Exp'!$V$21*'GW-1 Derm'!N7*(VLOOKUP(A7,[1]!TOX,12,FALSE))),IF(Q7=0,0,('[1]Target Risk'!$D$12*(VLOOKUP(A7,[1]!TOX,38,FALSE)))/('GW-1 Exp'!$J$26*'GW-1 Derm'!Q7*(VLOOKUP(A7,[1]!TOX,12,FALSE))))), IF(K7=0,('[1]Target Risk'!$D$12*(VLOOKUP(A7,[1]!TOX,38,FALSE)))/(('GW-1 Exp'!$V$26*'GW-1 Derm'!AB7*(VLOOKUP(A7,[1]!TOX,12,FALSE))*10)+('GW-1 Exp'!$V$27*'GW-1 Derm'!AC7*(VLOOKUP(A7,[1]!TOX,12,FALSE))*3)+('GW-1 Exp'!$V$28*'GW-1 Derm'!AD7*(VLOOKUP(A7,[1]!TOX,12,FALSE))*3)+('GW-1 Exp'!$V$29*'GW-1 Derm'!AE7*(VLOOKUP(A7,[1]!TOX,12,FALSE))*1)),IF(Q7=0,0,(('[1]Target Risk'!$D$12*(VLOOKUP(A7,[1]!TOX,38,FALSE)))/(('GW-1 Exp'!$J$33*'GW-1 Derm'!Q7*(VLOOKUP(A7,[1]!TOX,12,FALSE))*10)+('GW-1 Exp'!$J$34*'GW-1 Derm'!Q7*(VLOOKUP(A7,[1]!TOX,12,FALSE))*3)+('GW-1 Exp'!$J$35*'GW-1 Derm'!Q7*(VLOOKUP(A7,[1]!TOX,12,FALSE))*3)+('GW-1 Exp'!$J$36*'GW-1 Derm'!Q7*(VLOOKUP(A7,[1]!TOX,12,FALSE))*1)))))))</f>
        <v>0</v>
      </c>
      <c r="AB7" s="838">
        <f>L7*IF('GW-1 Exp'!U$26&lt;=$E7,2*(VLOOKUP(A7,[1]!TOX,67,FALSE))*1*0.000001*SQRT(6*$C7*'GW-1 Exp'!$U$26/PI()),(VLOOKUP(A7,[1]!TOX,67,FALSE))*1*0.000001*('GW-1 Exp'!$U$26/(1+$B7)+2*$C7*(1+3*$B7+3*$B7^2)/(1+$B7)^2))</f>
        <v>1.4623801419939048E-7</v>
      </c>
      <c r="AC7" s="837">
        <f>L7*IF('GW-1 Exp'!U$27&lt;=$E7,2*(VLOOKUP(A7,[1]!TOX,67,FALSE))*1*0.000001*SQRT(6*$C7*'GW-1 Exp'!$U$27/PI()),(VLOOKUP(A7,[1]!TOX,67,FALSE))*1*0.000001*('GW-1 Exp'!$U$27/(1+$B7)+2*$C7*(1+3*$B7+3*$B7^2)/(1+$B7)^2))</f>
        <v>1.586813425919005E-7</v>
      </c>
      <c r="AD7" s="837">
        <f>L7*IF('GW-1 Exp'!U$28&lt;=$E7,2*(VLOOKUP(A7,[1]!TOX,67,FALSE))*1*0.000001*SQRT(6*$C7*'GW-1 Exp'!$U$28/PI()),(VLOOKUP(A7,[1]!TOX,67,FALSE))*1*0.000001*('GW-1 Exp'!$U$28/(1+$B7)+2*$C7*(1+3*$B7+3*$B7^2)/(1+$B7)^2))</f>
        <v>1.6715021738020427E-7</v>
      </c>
      <c r="AE7" s="839">
        <f>L7*IF('GW-1 Exp'!U$29&lt;=$E7,2*(VLOOKUP(A7,[1]!TOX,67,FALSE))*1*0.000001*SQRT(6*$C7*'GW-1 Exp'!$U$29/PI()),(VLOOKUP(A7,[1]!TOX,67,FALSE))*1*0.000001*('GW-1 Exp'!$U$29/(1+$B7)+2*$C7*(1+3*$B7+3*$B7^2)/(1+$B7)^2))</f>
        <v>1.9415390677350801E-7</v>
      </c>
    </row>
    <row r="8" spans="1:31" x14ac:dyDescent="0.25">
      <c r="A8" s="540" t="s">
        <v>159</v>
      </c>
      <c r="B8" s="587">
        <f>(VLOOKUP(A8,[1]!TOX,67,FALSE))*(SQRT((VLOOKUP(A8,[1]!TOX,57,FALSE)))/2.6)</f>
        <v>0.41379669006444397</v>
      </c>
      <c r="C8" s="596">
        <f>('GW-1 Exp'!$O$29^2)/(6*D8)</f>
        <v>0.76603524111000232</v>
      </c>
      <c r="D8" s="486">
        <f>10^(-2.8-(0.0056*(VLOOKUP(A8,[1]!TOX,57,FALSE))))*'GW-1 Exp'!$O$29</f>
        <v>2.1757049509257941E-7</v>
      </c>
      <c r="E8" s="597">
        <f t="shared" ref="E8:E67" si="0">IF($B8=0,0,IF(B8&lt;=0.6,2.4*C8,F8))</f>
        <v>1.8384845786640054</v>
      </c>
      <c r="F8" s="597">
        <f>IF(B8&lt;=0.6,0,(G8-SQRT(G8^2-H8^2))*('GW-1 Exp'!$O$29^2/D8))</f>
        <v>0</v>
      </c>
      <c r="G8" s="582">
        <f t="shared" ref="G8:G67" si="1">(2*(1+B8)^2/PI())-H8</f>
        <v>0.62292057182151273</v>
      </c>
      <c r="H8" s="598">
        <f t="shared" ref="H8:H67" si="2">(1+ (3*B8) + 3*B8^2)/(3*(1+B8))</f>
        <v>0.64956844966457394</v>
      </c>
      <c r="I8" s="606">
        <f>IF('GW-1 Exp'!$U$13&lt;=$E8,2*(VLOOKUP(A8,[1]!TOX,67,FALSE))*1*0.000001*SQRT(6*$C8*'GW-1 Exp'!$U$13/PI()),(VLOOKUP(A8,[1]!TOX,67,FALSE))*1*0.000001*('GW-1 Exp'!$U$13/(1+$B8)+2*$C8*(1+3*$B8+3*$B8^2)/(1+$B8)^2))</f>
        <v>1.6148421908606892E-7</v>
      </c>
      <c r="J8" s="607">
        <f>IF('GW-1 Exp'!$U$21&lt;=$E8,2*(VLOOKUP(A8,[1]!TOX,67,FALSE))*1*0.000001*SQRT(6*$C8*'GW-1 Exp'!$U$21/PI()),(VLOOKUP(A8,[1]!TOX,67,FALSE))*1*0.000001*('GW-1 Exp'!$U$21/(1+$B8)+2*$C8*(1+3*$B8+3*$B8^2)/(1+$B8)^2))</f>
        <v>1.835031042971124E-7</v>
      </c>
      <c r="K8" s="482" t="s">
        <v>91</v>
      </c>
      <c r="L8" s="554">
        <v>1</v>
      </c>
      <c r="M8" s="481">
        <f t="shared" ref="M8:M67" si="3">I8*L8</f>
        <v>1.6148421908606892E-7</v>
      </c>
      <c r="N8" s="483">
        <f t="shared" ref="N8:N67" si="4">J8*L8</f>
        <v>1.835031042971124E-7</v>
      </c>
      <c r="O8" s="486" t="str">
        <f>IF(VLOOKUP(A8,[1]!TOX,81,FALSE)="Y","Inorganic",IF(K8="*","Streamlined",IF($E8=0,"Reduced Steady State",IF('GW-1 Exp'!$U$13&lt;=$E8,"Non-Steady State","Steady State"))))</f>
        <v>Streamlined</v>
      </c>
      <c r="P8" s="485" t="str">
        <f>IF(VLOOKUP(A8,[1]!TOX,81,FALSE)="Y","Inorganic",IF(K8="*","Streamlined",IF($E8=0,0,IF('GW-1 Exp'!$U$21&lt;=$E8,"Non-Steady State","Steady State"))))</f>
        <v>Streamlined</v>
      </c>
      <c r="Q8" s="563">
        <f>IF(K8=0,0,IF((VLOOKUP(A8,[1]!TOX,67,FALSE))=0,0,IF((VLOOKUP(A8,[1]!TOX,67,FALSE))&lt;0.5,0.2,1)))</f>
        <v>0.2</v>
      </c>
      <c r="R8" s="614">
        <f>IF(K8=0,IF(M8=0,0,('[1]Target Risk'!$D$8*(VLOOKUP(A8,[1]!TOX,4,FALSE))*(VLOOKUP(A8,[1]!TOX,37,FALSE)))/('GW-1 Exp'!$V$13*'GW-1 Derm'!$M8)),('[1]Target Risk'!$D$8*(VLOOKUP(A8,[1]!TOX,4,FALSE))*(VLOOKUP(A8,[1]!TOX,37,FALSE)))/('GW-1 Exp'!$J$18*'GW-1 Derm'!$Q8))</f>
        <v>447.6564560439561</v>
      </c>
      <c r="S8" s="574">
        <f>IF(OR(VLOOKUP(A8,[1]!TOX,12,FALSE)=0,VLOOKUP(A8,[1]!TOX,38,FALSE)=0),0,IF(K8=0,('[1]Target Risk'!$D$12*(VLOOKUP(A8,[1]!TOX,38,FALSE)))/('GW-1 Exp'!$V$21*'GW-1 Derm'!N8*(VLOOKUP(A8,[1]!TOX,12,FALSE))),IF(Q8=0,0,('[1]Target Risk'!$D$12*(VLOOKUP(A8,[1]!TOX,38,FALSE)))/('GW-1 Exp'!$J$26*'GW-1 Derm'!Q8*(VLOOKUP(A8,[1]!TOX,12,FALSE))))))</f>
        <v>0</v>
      </c>
      <c r="T8" s="575">
        <f>IF(OR(VLOOKUP(A8,[1]!TOX,12,FALSE)=0,VLOOKUP(A8,[1]!TOX,38,FALSE)=0),0,IF(NOT(VLOOKUP(A8,[1]!TOX,36,FALSE)="M"), IF(K8=0,('[1]Target Risk'!$D$12*(VLOOKUP(A8,[1]!TOX,38,FALSE)))/('GW-1 Exp'!$V$21*'GW-1 Derm'!N8*(VLOOKUP(A8,[1]!TOX,12,FALSE))),IF(Q8=0,0,('[1]Target Risk'!$D$12*(VLOOKUP(A8,[1]!TOX,38,FALSE)))/('GW-1 Exp'!$J$26*'GW-1 Derm'!Q8*(VLOOKUP(A8,[1]!TOX,12,FALSE))))), IF(K8=0,('[1]Target Risk'!$D$12*(VLOOKUP(A8,[1]!TOX,38,FALSE)))/(('GW-1 Exp'!$V$26*'GW-1 Derm'!AB8*(VLOOKUP(A8,[1]!TOX,12,FALSE))*10)+('GW-1 Exp'!$V$27*'GW-1 Derm'!AC8*(VLOOKUP(A8,[1]!TOX,12,FALSE))*3)+('GW-1 Exp'!$V$28*'GW-1 Derm'!AD8*(VLOOKUP(A8,[1]!TOX,12,FALSE))*3)+('GW-1 Exp'!$V$29*'GW-1 Derm'!AE8*(VLOOKUP(A8,[1]!TOX,12,FALSE))*1)),IF(Q8=0,0,(('[1]Target Risk'!$D$12*(VLOOKUP(A8,[1]!TOX,38,FALSE)))/(('GW-1 Exp'!$J$33*'GW-1 Derm'!Q8*(VLOOKUP(A8,[1]!TOX,12,FALSE))*10)+('GW-1 Exp'!$J$34*'GW-1 Derm'!Q8*(VLOOKUP(A8,[1]!TOX,12,FALSE))*3)+('GW-1 Exp'!$J$35*'GW-1 Derm'!Q8*(VLOOKUP(A8,[1]!TOX,12,FALSE))*3)+('GW-1 Exp'!$J$36*'GW-1 Derm'!Q8*(VLOOKUP(A8,[1]!TOX,12,FALSE))*1)))))))</f>
        <v>0</v>
      </c>
      <c r="AB8" s="838">
        <f>L8*IF('GW-1 Exp'!U$26&lt;=$E8,2*(VLOOKUP(A8,[1]!TOX,67,FALSE))*1*0.000001*SQRT(6*$C8*'GW-1 Exp'!$U$26/PI()),(VLOOKUP(A8,[1]!TOX,67,FALSE))*1*0.000001*('GW-1 Exp'!$U$26/(1+$B8)+2*$C8*(1+3*$B8+3*$B8^2)/(1+$B8)^2))</f>
        <v>1.5075102754287243E-7</v>
      </c>
      <c r="AC8" s="837">
        <f>L8*IF('GW-1 Exp'!U$27&lt;=$E8,2*(VLOOKUP(A8,[1]!TOX,67,FALSE))*1*0.000001*SQRT(6*$C8*'GW-1 Exp'!$U$27/PI()),(VLOOKUP(A8,[1]!TOX,67,FALSE))*1*0.000001*('GW-1 Exp'!$U$27/(1+$B8)+2*$C8*(1+3*$B8+3*$B8^2)/(1+$B8)^2))</f>
        <v>1.6357836625841762E-7</v>
      </c>
      <c r="AD8" s="837">
        <f>L8*IF('GW-1 Exp'!U$28&lt;=$E8,2*(VLOOKUP(A8,[1]!TOX,67,FALSE))*1*0.000001*SQRT(6*$C8*'GW-1 Exp'!$U$28/PI()),(VLOOKUP(A8,[1]!TOX,67,FALSE))*1*0.000001*('GW-1 Exp'!$U$28/(1+$B8)+2*$C8*(1+3*$B8+3*$B8^2)/(1+$B8)^2))</f>
        <v>1.7230859679018613E-7</v>
      </c>
      <c r="AE8" s="839">
        <f>L8*IF('GW-1 Exp'!U$29&lt;=$E8,2*(VLOOKUP(A8,[1]!TOX,67,FALSE))*1*0.000001*SQRT(6*$C8*'GW-1 Exp'!$U$29/PI()),(VLOOKUP(A8,[1]!TOX,67,FALSE))*1*0.000001*('GW-1 Exp'!$U$29/(1+$B8)+2*$C8*(1+3*$B8+3*$B8^2)/(1+$B8)^2))</f>
        <v>2.0014564002258853E-7</v>
      </c>
    </row>
    <row r="9" spans="1:31" x14ac:dyDescent="0.25">
      <c r="A9" s="540" t="s">
        <v>160</v>
      </c>
      <c r="B9" s="587">
        <f>(VLOOKUP(A9,[1]!TOX,67,FALSE))*(SQRT((VLOOKUP(A9,[1]!TOX,57,FALSE)))/2.6)</f>
        <v>1.5259512131065144E-3</v>
      </c>
      <c r="C9" s="596">
        <f>('GW-1 Exp'!$O$29^2)/(6*D9)</f>
        <v>0.22215124403855621</v>
      </c>
      <c r="D9" s="486">
        <f>10^(-2.8-(0.0056*(VLOOKUP(A9,[1]!TOX,57,FALSE))))*'GW-1 Exp'!$O$29</f>
        <v>7.5023962790746419E-7</v>
      </c>
      <c r="E9" s="597">
        <f t="shared" si="0"/>
        <v>0.53316298569253484</v>
      </c>
      <c r="F9" s="597">
        <f>IF(B9&lt;=0.6,0,(G9-SQRT(G9^2-H9^2))*('GW-1 Exp'!$O$29^2/D9))</f>
        <v>0</v>
      </c>
      <c r="G9" s="582">
        <f t="shared" si="1"/>
        <v>0.30421274704666956</v>
      </c>
      <c r="H9" s="598">
        <f t="shared" si="2"/>
        <v>0.33435140913517092</v>
      </c>
      <c r="I9" s="606">
        <f>IF('GW-1 Exp'!$U$13&lt;=$E9,2*(VLOOKUP(A9,[1]!TOX,67,FALSE))*1*0.000001*SQRT(6*$C9*'GW-1 Exp'!$U$13/PI()),(VLOOKUP(A9,[1]!TOX,67,FALSE))*1*0.000001*('GW-1 Exp'!$U$13/(1+$B9)+2*$C9*(1+3*$B9+3*$B9^2)/(1+$B9)^2))</f>
        <v>5.4019585697680574E-10</v>
      </c>
      <c r="J9" s="607">
        <f>IF('GW-1 Exp'!$U$21&lt;=$E9,2*(VLOOKUP(A9,[1]!TOX,67,FALSE))*1*0.000001*SQRT(6*$C9*'GW-1 Exp'!$U$21/PI()),(VLOOKUP(A9,[1]!TOX,67,FALSE))*1*0.000001*('GW-1 Exp'!$U$21/(1+$B9)+2*$C9*(1+3*$B9+3*$B9^2)/(1+$B9)^2))</f>
        <v>6.3002683723485064E-10</v>
      </c>
      <c r="K9" s="482"/>
      <c r="L9" s="554">
        <v>1</v>
      </c>
      <c r="M9" s="481">
        <f t="shared" si="3"/>
        <v>5.4019585697680574E-10</v>
      </c>
      <c r="N9" s="483">
        <f t="shared" si="4"/>
        <v>6.3002683723485064E-10</v>
      </c>
      <c r="O9" s="486" t="str">
        <f>IF(VLOOKUP(A9,[1]!TOX,81,FALSE)="Y","Inorganic",IF(K9="*","Streamlined",IF($E9=0,"Reduced Steady State",IF('GW-1 Exp'!$U$13&lt;=$E9,"Non-Steady State","Steady State"))))</f>
        <v>Steady State</v>
      </c>
      <c r="P9" s="485" t="str">
        <f>IF(VLOOKUP(A9,[1]!TOX,81,FALSE)="Y","Inorganic",IF(K9="*","Streamlined",IF($E9=0,0,IF('GW-1 Exp'!$U$21&lt;=$E9,"Non-Steady State","Steady State"))))</f>
        <v>Steady State</v>
      </c>
      <c r="Q9" s="563">
        <f>IF(K9=0,0,IF((VLOOKUP(A9,[1]!TOX,67,FALSE))=0,0,IF((VLOOKUP(A9,[1]!TOX,67,FALSE))&lt;0.5,0.2,1)))</f>
        <v>0</v>
      </c>
      <c r="R9" s="614">
        <f>IF(K9=0,IF(M9=0,0,('[1]Target Risk'!$D$8*(VLOOKUP(A9,[1]!TOX,4,FALSE))*(VLOOKUP(A9,[1]!TOX,37,FALSE)))/('GW-1 Exp'!$V$13*'GW-1 Derm'!$M9)),('[1]Target Risk'!$D$8*(VLOOKUP(A9,[1]!TOX,4,FALSE))*(VLOOKUP(A9,[1]!TOX,37,FALSE)))/('GW-1 Exp'!$J$18*'GW-1 Derm'!$Q9))</f>
        <v>820445.18602471636</v>
      </c>
      <c r="S9" s="574">
        <f>IF(OR(VLOOKUP(A9,[1]!TOX,12,FALSE)=0,VLOOKUP(A9,[1]!TOX,38,FALSE)=0),0,IF(K9=0,('[1]Target Risk'!$D$12*(VLOOKUP(A9,[1]!TOX,38,FALSE)))/('GW-1 Exp'!$V$21*'GW-1 Derm'!N9*(VLOOKUP(A9,[1]!TOX,12,FALSE))),IF(Q9=0,0,('[1]Target Risk'!$D$12*(VLOOKUP(A9,[1]!TOX,38,FALSE)))/('GW-1 Exp'!$J$26*'GW-1 Derm'!Q9*(VLOOKUP(A9,[1]!TOX,12,FALSE))))))</f>
        <v>0</v>
      </c>
      <c r="T9" s="575">
        <f>IF(OR(VLOOKUP(A9,[1]!TOX,12,FALSE)=0,VLOOKUP(A9,[1]!TOX,38,FALSE)=0),0,IF(NOT(VLOOKUP(A9,[1]!TOX,36,FALSE)="M"), IF(K9=0,('[1]Target Risk'!$D$12*(VLOOKUP(A9,[1]!TOX,38,FALSE)))/('GW-1 Exp'!$V$21*'GW-1 Derm'!N9*(VLOOKUP(A9,[1]!TOX,12,FALSE))),IF(Q9=0,0,('[1]Target Risk'!$D$12*(VLOOKUP(A9,[1]!TOX,38,FALSE)))/('GW-1 Exp'!$J$26*'GW-1 Derm'!Q9*(VLOOKUP(A9,[1]!TOX,12,FALSE))))), IF(K9=0,('[1]Target Risk'!$D$12*(VLOOKUP(A9,[1]!TOX,38,FALSE)))/(('GW-1 Exp'!$V$26*'GW-1 Derm'!AB9*(VLOOKUP(A9,[1]!TOX,12,FALSE))*10)+('GW-1 Exp'!$V$27*'GW-1 Derm'!AC9*(VLOOKUP(A9,[1]!TOX,12,FALSE))*3)+('GW-1 Exp'!$V$28*'GW-1 Derm'!AD9*(VLOOKUP(A9,[1]!TOX,12,FALSE))*3)+('GW-1 Exp'!$V$29*'GW-1 Derm'!AE9*(VLOOKUP(A9,[1]!TOX,12,FALSE))*1)),IF(Q9=0,0,(('[1]Target Risk'!$D$12*(VLOOKUP(A9,[1]!TOX,38,FALSE)))/(('GW-1 Exp'!$J$33*'GW-1 Derm'!Q9*(VLOOKUP(A9,[1]!TOX,12,FALSE))*10)+('GW-1 Exp'!$J$34*'GW-1 Derm'!Q9*(VLOOKUP(A9,[1]!TOX,12,FALSE))*3)+('GW-1 Exp'!$J$35*'GW-1 Derm'!Q9*(VLOOKUP(A9,[1]!TOX,12,FALSE))*3)+('GW-1 Exp'!$J$36*'GW-1 Derm'!Q9*(VLOOKUP(A9,[1]!TOX,12,FALSE))*1)))))))</f>
        <v>0</v>
      </c>
      <c r="AB9" s="838">
        <f>L9*IF('GW-1 Exp'!U$26&lt;=$E9,2*(VLOOKUP(A9,[1]!TOX,67,FALSE))*1*0.000001*SQRT(6*$C9*'GW-1 Exp'!$U$26/PI()),(VLOOKUP(A9,[1]!TOX,67,FALSE))*1*0.000001*('GW-1 Exp'!$U$26/(1+$B9)+2*$C9*(1+3*$B9+3*$B9^2)/(1+$B9)^2))</f>
        <v>4.8782076288497163E-10</v>
      </c>
      <c r="AC9" s="837">
        <f>L9*IF('GW-1 Exp'!U$27&lt;=$E9,2*(VLOOKUP(A9,[1]!TOX,67,FALSE))*1*0.000001*SQRT(6*$C9*'GW-1 Exp'!$U$27/PI()),(VLOOKUP(A9,[1]!TOX,67,FALSE))*1*0.000001*('GW-1 Exp'!$U$27/(1+$B9)+2*$C9*(1+3*$B9+3*$B9^2)/(1+$B9)^2))</f>
        <v>5.4824596779956245E-10</v>
      </c>
      <c r="AD9" s="837">
        <f>L9*IF('GW-1 Exp'!U$28&lt;=$E9,2*(VLOOKUP(A9,[1]!TOX,67,FALSE))*1*0.000001*SQRT(6*$C9*'GW-1 Exp'!$U$28/PI()),(VLOOKUP(A9,[1]!TOX,67,FALSE))*1*0.000001*('GW-1 Exp'!$U$28/(1+$B9)+2*$C9*(1+3*$B9+3*$B9^2)/(1+$B9)^2))</f>
        <v>5.8292336826682253E-10</v>
      </c>
      <c r="AE9" s="839">
        <f>L9*IF('GW-1 Exp'!U$29&lt;=$E9,2*(VLOOKUP(A9,[1]!TOX,67,FALSE))*1*0.000001*SQRT(6*$C9*'GW-1 Exp'!$U$29/PI()),(VLOOKUP(A9,[1]!TOX,67,FALSE))*1*0.000001*('GW-1 Exp'!$U$29/(1+$B9)+2*$C9*(1+3*$B9+3*$B9^2)/(1+$B9)^2))</f>
        <v>7.0553274849034874E-10</v>
      </c>
    </row>
    <row r="10" spans="1:31" x14ac:dyDescent="0.25">
      <c r="A10" s="540" t="s">
        <v>161</v>
      </c>
      <c r="B10" s="587">
        <f>(VLOOKUP(A10,[1]!TOX,67,FALSE))*(SQRT((VLOOKUP(A10,[1]!TOX,57,FALSE)))/2.6)</f>
        <v>2.051979814445156</v>
      </c>
      <c r="C10" s="596">
        <f>('GW-1 Exp'!$O$29^2)/(6*D10)</f>
        <v>11.637206734619514</v>
      </c>
      <c r="D10" s="486">
        <f>10^(-2.8-(0.0056*(VLOOKUP(A10,[1]!TOX,57,FALSE))))*'GW-1 Exp'!$O$29</f>
        <v>1.4321878992735445E-8</v>
      </c>
      <c r="E10" s="597">
        <f t="shared" si="0"/>
        <v>47.568191762400907</v>
      </c>
      <c r="F10" s="597">
        <f>IF(B10&lt;=0.6,0,(G10-SQRT(G10^2-H10^2))*('GW-1 Exp'!$O$29^2/D10))</f>
        <v>47.568191762400907</v>
      </c>
      <c r="G10" s="582">
        <f t="shared" si="1"/>
        <v>3.768647764885706</v>
      </c>
      <c r="H10" s="598">
        <f t="shared" si="2"/>
        <v>2.1611985359306822</v>
      </c>
      <c r="I10" s="606">
        <f>IF('GW-1 Exp'!$U$13&lt;=$E10,2*(VLOOKUP(A10,[1]!TOX,67,FALSE))*1*0.000001*SQRT(6*$C10*'GW-1 Exp'!$U$13/PI()),(VLOOKUP(A10,[1]!TOX,67,FALSE))*1*0.000001*('GW-1 Exp'!$U$13/(1+$B10)+2*$C10*(1+3*$B10+3*$B10^2)/(1+$B10)^2))</f>
        <v>2.0273563312566569E-6</v>
      </c>
      <c r="J10" s="607">
        <f>IF('GW-1 Exp'!$U$21&lt;=$E10,2*(VLOOKUP(A10,[1]!TOX,67,FALSE))*1*0.000001*SQRT(6*$C10*'GW-1 Exp'!$U$21/PI()),(VLOOKUP(A10,[1]!TOX,67,FALSE))*1*0.000001*('GW-1 Exp'!$U$21/(1+$B10)+2*$C10*(1+3*$B10+3*$B10^2)/(1+$B10)^2))</f>
        <v>2.3037927941659522E-6</v>
      </c>
      <c r="K10" s="482"/>
      <c r="L10" s="554">
        <v>1</v>
      </c>
      <c r="M10" s="481">
        <f t="shared" si="3"/>
        <v>2.0273563312566569E-6</v>
      </c>
      <c r="N10" s="483">
        <f t="shared" si="4"/>
        <v>2.3037927941659522E-6</v>
      </c>
      <c r="O10" s="486" t="str">
        <f>IF(VLOOKUP(A10,[1]!TOX,81,FALSE)="Y","Inorganic",IF(K10="*","Streamlined",IF($E10=0,"Reduced Steady State",IF('GW-1 Exp'!$U$13&lt;=$E10,"Non-Steady State","Steady State"))))</f>
        <v>Non-Steady State</v>
      </c>
      <c r="P10" s="485" t="str">
        <f>IF(VLOOKUP(A10,[1]!TOX,81,FALSE)="Y","Inorganic",IF(K10="*","Streamlined",IF($E10=0,0,IF('GW-1 Exp'!$U$21&lt;=$E10,"Non-Steady State","Steady State"))))</f>
        <v>Non-Steady State</v>
      </c>
      <c r="Q10" s="563">
        <f>IF(K10=0,0,IF((VLOOKUP(A10,[1]!TOX,67,FALSE))=0,0,IF((VLOOKUP(A10,[1]!TOX,67,FALSE))&lt;0.5,0.2,1)))</f>
        <v>0</v>
      </c>
      <c r="R10" s="614">
        <f>IF(K10=0,IF(M10=0,0,('[1]Target Risk'!$D$8*(VLOOKUP(A10,[1]!TOX,4,FALSE))*(VLOOKUP(A10,[1]!TOX,37,FALSE)))/('GW-1 Exp'!$V$13*'GW-1 Derm'!$M10)),('[1]Target Risk'!$D$8*(VLOOKUP(A10,[1]!TOX,4,FALSE))*(VLOOKUP(A10,[1]!TOX,37,FALSE)))/('GW-1 Exp'!$J$18*'GW-1 Derm'!$Q10))</f>
        <v>5.829609507173949E-3</v>
      </c>
      <c r="S10" s="614">
        <f>IF(OR(VLOOKUP(A10,[1]!TOX,12,FALSE)=0,VLOOKUP(A10,[1]!TOX,38,FALSE)=0),0,IF(K10=0,('[1]Target Risk'!$D$12*(VLOOKUP(A10,[1]!TOX,38,FALSE)))/('GW-1 Exp'!$V$21*'GW-1 Derm'!N10*(VLOOKUP(A10,[1]!TOX,12,FALSE))),IF(Q10=0,0,('[1]Target Risk'!$D$12*(VLOOKUP(A10,[1]!TOX,38,FALSE)))/('GW-1 Exp'!$J$26*'GW-1 Derm'!Q10*(VLOOKUP(A10,[1]!TOX,12,FALSE))))))</f>
        <v>1.527415925698287E-4</v>
      </c>
      <c r="T10" s="575">
        <f>IF(OR(VLOOKUP(A10,[1]!TOX,12,FALSE)=0,VLOOKUP(A10,[1]!TOX,38,FALSE)=0),0,IF(NOT(VLOOKUP(A10,[1]!TOX,36,FALSE)="M"), IF(K10=0,('[1]Target Risk'!$D$12*(VLOOKUP(A10,[1]!TOX,38,FALSE)))/('GW-1 Exp'!$V$21*'GW-1 Derm'!N10*(VLOOKUP(A10,[1]!TOX,12,FALSE))),IF(Q10=0,0,('[1]Target Risk'!$D$12*(VLOOKUP(A10,[1]!TOX,38,FALSE)))/('GW-1 Exp'!$J$26*'GW-1 Derm'!Q10*(VLOOKUP(A10,[1]!TOX,12,FALSE))))), IF(K10=0,('[1]Target Risk'!$D$12*(VLOOKUP(A10,[1]!TOX,38,FALSE)))/(('GW-1 Exp'!$V$26*'GW-1 Derm'!AB10*(VLOOKUP(A10,[1]!TOX,12,FALSE))*10)+('GW-1 Exp'!$V$27*'GW-1 Derm'!AC10*(VLOOKUP(A10,[1]!TOX,12,FALSE))*3)+('GW-1 Exp'!$V$28*'GW-1 Derm'!AD10*(VLOOKUP(A10,[1]!TOX,12,FALSE))*3)+('GW-1 Exp'!$V$29*'GW-1 Derm'!AE10*(VLOOKUP(A10,[1]!TOX,12,FALSE))*1)),IF(Q10=0,0,(('[1]Target Risk'!$D$12*(VLOOKUP(A10,[1]!TOX,38,FALSE)))/(('GW-1 Exp'!$J$33*'GW-1 Derm'!Q10*(VLOOKUP(A10,[1]!TOX,12,FALSE))*10)+('GW-1 Exp'!$J$34*'GW-1 Derm'!Q10*(VLOOKUP(A10,[1]!TOX,12,FALSE))*3)+('GW-1 Exp'!$J$35*'GW-1 Derm'!Q10*(VLOOKUP(A10,[1]!TOX,12,FALSE))*3)+('GW-1 Exp'!$J$36*'GW-1 Derm'!Q10*(VLOOKUP(A10,[1]!TOX,12,FALSE))*1)))))))</f>
        <v>1.527415925698287E-4</v>
      </c>
      <c r="AB10" s="838">
        <f>L10*IF('GW-1 Exp'!U$26&lt;=$E10,2*(VLOOKUP(A10,[1]!TOX,67,FALSE))*1*0.000001*SQRT(6*$C10*'GW-1 Exp'!$U$26/PI()),(VLOOKUP(A10,[1]!TOX,67,FALSE))*1*0.000001*('GW-1 Exp'!$U$26/(1+$B10)+2*$C10*(1+3*$B10+3*$B10^2)/(1+$B10)^2))</f>
        <v>1.8926062983875505E-6</v>
      </c>
      <c r="AC10" s="837">
        <f>L10*IF('GW-1 Exp'!U$27&lt;=$E10,2*(VLOOKUP(A10,[1]!TOX,67,FALSE))*1*0.000001*SQRT(6*$C10*'GW-1 Exp'!$U$27/PI()),(VLOOKUP(A10,[1]!TOX,67,FALSE))*1*0.000001*('GW-1 Exp'!$U$27/(1+$B10)+2*$C10*(1+3*$B10+3*$B10^2)/(1+$B10)^2))</f>
        <v>2.0536473369813807E-6</v>
      </c>
      <c r="AD10" s="837">
        <f>L10*IF('GW-1 Exp'!U$28&lt;=$E10,2*(VLOOKUP(A10,[1]!TOX,67,FALSE))*1*0.000001*SQRT(6*$C10*'GW-1 Exp'!$U$28/PI()),(VLOOKUP(A10,[1]!TOX,67,FALSE))*1*0.000001*('GW-1 Exp'!$U$28/(1+$B10)+2*$C10*(1+3*$B10+3*$B10^2)/(1+$B10)^2))</f>
        <v>2.1632511623092138E-6</v>
      </c>
      <c r="AE10" s="839">
        <f>L10*IF('GW-1 Exp'!U$29&lt;=$E10,2*(VLOOKUP(A10,[1]!TOX,67,FALSE))*1*0.000001*SQRT(6*$C10*'GW-1 Exp'!$U$29/PI()),(VLOOKUP(A10,[1]!TOX,67,FALSE))*1*0.000001*('GW-1 Exp'!$U$29/(1+$B10)+2*$C10*(1+3*$B10+3*$B10^2)/(1+$B10)^2))</f>
        <v>2.5127317874754225E-6</v>
      </c>
    </row>
    <row r="11" spans="1:31" x14ac:dyDescent="0.25">
      <c r="A11" s="540" t="s">
        <v>162</v>
      </c>
      <c r="B11" s="587">
        <f>(VLOOKUP(A11,[1]!TOX,67,FALSE))*(SQRT((VLOOKUP(A11,[1]!TOX,57,FALSE)))/2.6)</f>
        <v>0.70865793304918556</v>
      </c>
      <c r="C11" s="596">
        <f>('GW-1 Exp'!$O$29^2)/(6*D11)</f>
        <v>1.0438756079303715</v>
      </c>
      <c r="D11" s="486">
        <f>10^(-2.8-(0.0056*(VLOOKUP(A11,[1]!TOX,57,FALSE))))*'GW-1 Exp'!$O$29</f>
        <v>1.5966142459934139E-7</v>
      </c>
      <c r="E11" s="597">
        <f t="shared" si="0"/>
        <v>4.0497865815342973</v>
      </c>
      <c r="F11" s="597">
        <f>IF(B11&lt;=0.6,0,(G11-SQRT(G11^2-H11^2))*('GW-1 Exp'!$O$29^2/D11))</f>
        <v>4.0497865815342973</v>
      </c>
      <c r="G11" s="582">
        <f t="shared" si="1"/>
        <v>0.95487620541365525</v>
      </c>
      <c r="H11" s="598">
        <f t="shared" si="2"/>
        <v>0.90374281627006714</v>
      </c>
      <c r="I11" s="606">
        <f>IF('GW-1 Exp'!$U$13&lt;=$E11,2*(VLOOKUP(A11,[1]!TOX,67,FALSE))*1*0.000001*SQRT(6*$C11*'GW-1 Exp'!$U$13/PI()),(VLOOKUP(A11,[1]!TOX,67,FALSE))*1*0.000001*('GW-1 Exp'!$U$13/(1+$B11)+2*$C11*(1+3*$B11+3*$B11^2)/(1+$B11)^2))</f>
        <v>3.0028254476330332E-7</v>
      </c>
      <c r="J11" s="607">
        <f>IF('GW-1 Exp'!$U$21&lt;=$E11,2*(VLOOKUP(A11,[1]!TOX,67,FALSE))*1*0.000001*SQRT(6*$C11*'GW-1 Exp'!$U$21/PI()),(VLOOKUP(A11,[1]!TOX,67,FALSE))*1*0.000001*('GW-1 Exp'!$U$21/(1+$B11)+2*$C11*(1+3*$B11+3*$B11^2)/(1+$B11)^2))</f>
        <v>3.4122702170008166E-7</v>
      </c>
      <c r="K11" s="482" t="s">
        <v>91</v>
      </c>
      <c r="L11" s="554">
        <v>1</v>
      </c>
      <c r="M11" s="481">
        <f t="shared" si="3"/>
        <v>3.0028254476330332E-7</v>
      </c>
      <c r="N11" s="483">
        <f t="shared" si="4"/>
        <v>3.4122702170008166E-7</v>
      </c>
      <c r="O11" s="486" t="str">
        <f>IF(VLOOKUP(A11,[1]!TOX,81,FALSE)="Y","Inorganic",IF(K11="*","Streamlined",IF($E11=0,"Reduced Steady State",IF('GW-1 Exp'!$U$13&lt;=$E11,"Non-Steady State","Steady State"))))</f>
        <v>Streamlined</v>
      </c>
      <c r="P11" s="485" t="str">
        <f>IF(VLOOKUP(A11,[1]!TOX,81,FALSE)="Y","Inorganic",IF(K11="*","Streamlined",IF($E11=0,0,IF('GW-1 Exp'!$U$21&lt;=$E11,"Non-Steady State","Steady State"))))</f>
        <v>Streamlined</v>
      </c>
      <c r="Q11" s="563">
        <f>IF(K11=0,0,IF((VLOOKUP(A11,[1]!TOX,67,FALSE))=0,0,IF((VLOOKUP(A11,[1]!TOX,67,FALSE))&lt;0.5,0.2,1)))</f>
        <v>0.2</v>
      </c>
      <c r="R11" s="614">
        <f>IF(K11=0,IF(M11=0,0,('[1]Target Risk'!$D$8*(VLOOKUP(A11,[1]!TOX,4,FALSE))*(VLOOKUP(A11,[1]!TOX,37,FALSE)))/('GW-1 Exp'!$V$13*'GW-1 Derm'!$M11)),('[1]Target Risk'!$D$8*(VLOOKUP(A11,[1]!TOX,4,FALSE))*(VLOOKUP(A11,[1]!TOX,37,FALSE)))/('GW-1 Exp'!$J$18*'GW-1 Derm'!$Q11))</f>
        <v>4476.5645604395604</v>
      </c>
      <c r="S11" s="574">
        <f>IF(OR(VLOOKUP(A11,[1]!TOX,12,FALSE)=0,VLOOKUP(A11,[1]!TOX,38,FALSE)=0),0,IF(K11=0,('[1]Target Risk'!$D$12*(VLOOKUP(A11,[1]!TOX,38,FALSE)))/('GW-1 Exp'!$V$21*'GW-1 Derm'!N11*(VLOOKUP(A11,[1]!TOX,12,FALSE))),IF(Q11=0,0,('[1]Target Risk'!$D$12*(VLOOKUP(A11,[1]!TOX,38,FALSE)))/('GW-1 Exp'!$J$26*'GW-1 Derm'!Q11*(VLOOKUP(A11,[1]!TOX,12,FALSE))))))</f>
        <v>0</v>
      </c>
      <c r="T11" s="575">
        <f>IF(OR(VLOOKUP(A11,[1]!TOX,12,FALSE)=0,VLOOKUP(A11,[1]!TOX,38,FALSE)=0),0,IF(NOT(VLOOKUP(A11,[1]!TOX,36,FALSE)="M"), IF(K11=0,('[1]Target Risk'!$D$12*(VLOOKUP(A11,[1]!TOX,38,FALSE)))/('GW-1 Exp'!$V$21*'GW-1 Derm'!N11*(VLOOKUP(A11,[1]!TOX,12,FALSE))),IF(Q11=0,0,('[1]Target Risk'!$D$12*(VLOOKUP(A11,[1]!TOX,38,FALSE)))/('GW-1 Exp'!$J$26*'GW-1 Derm'!Q11*(VLOOKUP(A11,[1]!TOX,12,FALSE))))), IF(K11=0,('[1]Target Risk'!$D$12*(VLOOKUP(A11,[1]!TOX,38,FALSE)))/(('GW-1 Exp'!$V$26*'GW-1 Derm'!AB11*(VLOOKUP(A11,[1]!TOX,12,FALSE))*10)+('GW-1 Exp'!$V$27*'GW-1 Derm'!AC11*(VLOOKUP(A11,[1]!TOX,12,FALSE))*3)+('GW-1 Exp'!$V$28*'GW-1 Derm'!AD11*(VLOOKUP(A11,[1]!TOX,12,FALSE))*3)+('GW-1 Exp'!$V$29*'GW-1 Derm'!AE11*(VLOOKUP(A11,[1]!TOX,12,FALSE))*1)),IF(Q11=0,0,(('[1]Target Risk'!$D$12*(VLOOKUP(A11,[1]!TOX,38,FALSE)))/(('GW-1 Exp'!$J$33*'GW-1 Derm'!Q11*(VLOOKUP(A11,[1]!TOX,12,FALSE))*10)+('GW-1 Exp'!$J$34*'GW-1 Derm'!Q11*(VLOOKUP(A11,[1]!TOX,12,FALSE))*3)+('GW-1 Exp'!$J$35*'GW-1 Derm'!Q11*(VLOOKUP(A11,[1]!TOX,12,FALSE))*3)+('GW-1 Exp'!$J$36*'GW-1 Derm'!Q11*(VLOOKUP(A11,[1]!TOX,12,FALSE))*1)))))))</f>
        <v>0</v>
      </c>
      <c r="AB11" s="838">
        <f>L11*IF('GW-1 Exp'!U$26&lt;=$E11,2*(VLOOKUP(A11,[1]!TOX,67,FALSE))*1*0.000001*SQRT(6*$C11*'GW-1 Exp'!$U$26/PI()),(VLOOKUP(A11,[1]!TOX,67,FALSE))*1*0.000001*('GW-1 Exp'!$U$26/(1+$B11)+2*$C11*(1+3*$B11+3*$B11^2)/(1+$B11)^2))</f>
        <v>2.8032399966048311E-7</v>
      </c>
      <c r="AC11" s="837">
        <f>L11*IF('GW-1 Exp'!U$27&lt;=$E11,2*(VLOOKUP(A11,[1]!TOX,67,FALSE))*1*0.000001*SQRT(6*$C11*'GW-1 Exp'!$U$27/PI()),(VLOOKUP(A11,[1]!TOX,67,FALSE))*1*0.000001*('GW-1 Exp'!$U$27/(1+$B11)+2*$C11*(1+3*$B11+3*$B11^2)/(1+$B11)^2))</f>
        <v>3.041766456579956E-7</v>
      </c>
      <c r="AD11" s="837">
        <f>L11*IF('GW-1 Exp'!U$28&lt;=$E11,2*(VLOOKUP(A11,[1]!TOX,67,FALSE))*1*0.000001*SQRT(6*$C11*'GW-1 Exp'!$U$28/PI()),(VLOOKUP(A11,[1]!TOX,67,FALSE))*1*0.000001*('GW-1 Exp'!$U$28/(1+$B11)+2*$C11*(1+3*$B11+3*$B11^2)/(1+$B11)^2))</f>
        <v>3.2041065202274445E-7</v>
      </c>
      <c r="AE11" s="839">
        <f>L11*IF('GW-1 Exp'!U$29&lt;=$E11,2*(VLOOKUP(A11,[1]!TOX,67,FALSE))*1*0.000001*SQRT(6*$C11*'GW-1 Exp'!$U$29/PI()),(VLOOKUP(A11,[1]!TOX,67,FALSE))*1*0.000001*('GW-1 Exp'!$U$29/(1+$B11)+2*$C11*(1+3*$B11+3*$B11^2)/(1+$B11)^2))</f>
        <v>3.7217408889490501E-7</v>
      </c>
    </row>
    <row r="12" spans="1:31" x14ac:dyDescent="0.25">
      <c r="A12" s="541" t="s">
        <v>163</v>
      </c>
      <c r="B12" s="587">
        <f>(VLOOKUP(A12,[1]!TOX,67,FALSE))*(SQRT((VLOOKUP(A12,[1]!TOX,57,FALSE)))/2.6)</f>
        <v>4.2482157758412546E-3</v>
      </c>
      <c r="C12" s="596">
        <f>('GW-1 Exp'!$O$29^2)/(6*D12)</f>
        <v>0.50704762124682723</v>
      </c>
      <c r="D12" s="486">
        <f>10^(-2.8-(0.0056*(VLOOKUP(A12,[1]!TOX,57,FALSE))))*'GW-1 Exp'!$O$29</f>
        <v>3.2870022396877492E-7</v>
      </c>
      <c r="E12" s="597">
        <f t="shared" si="0"/>
        <v>1.2169142909923854</v>
      </c>
      <c r="F12" s="597">
        <f>IF(B12&lt;=0.6,0,(G12-SQRT(G12^2-H12^2))*('GW-1 Exp'!$O$29^2/D12))</f>
        <v>0</v>
      </c>
      <c r="G12" s="582">
        <f t="shared" si="1"/>
        <v>0.30586879046493137</v>
      </c>
      <c r="H12" s="598">
        <f t="shared" si="2"/>
        <v>0.33617146751476873</v>
      </c>
      <c r="I12" s="854">
        <f>(VLOOKUP(A12,[1]!TOX,67,FALSE))*1*0.000001*'GW-1 Exp'!$U$13</f>
        <v>5.9285714285714288E-10</v>
      </c>
      <c r="J12" s="855">
        <f>(VLOOKUP(A11,[1]!TOX,67,FALSE))*1*0.000001*'GW-1 Exp'!$U$21</f>
        <v>1.0572476109947705E-7</v>
      </c>
      <c r="K12" s="482"/>
      <c r="L12" s="554">
        <v>1</v>
      </c>
      <c r="M12" s="481">
        <f t="shared" si="3"/>
        <v>5.9285714285714288E-10</v>
      </c>
      <c r="N12" s="483">
        <f t="shared" si="4"/>
        <v>1.0572476109947705E-7</v>
      </c>
      <c r="O12" s="486" t="str">
        <f>IF(VLOOKUP(A12,[1]!TOX,81,FALSE)="Y","Inorganic",IF(K12="*","Streamlined",IF($E12=0,"Reduced Steady State",IF('GW-1 Exp'!$U$13&lt;=$E12,"Non-Steady State","Steady State"))))</f>
        <v>Inorganic</v>
      </c>
      <c r="P12" s="485" t="str">
        <f>IF(VLOOKUP(A12,[1]!TOX,81,FALSE)="Y","Inorganic",IF(K12="*","Streamlined",IF($E12=0,0,IF('GW-1 Exp'!$U$21&lt;=$E12,"Non-Steady State","Steady State"))))</f>
        <v>Inorganic</v>
      </c>
      <c r="Q12" s="563">
        <f>IF(K12=0,0,IF((VLOOKUP(A12,[1]!TOX,67,FALSE))=0,0,IF((VLOOKUP(A12,[1]!TOX,67,FALSE))&lt;0.5,0.2,1)))</f>
        <v>0</v>
      </c>
      <c r="R12" s="614">
        <f>IF(K12=0,IF(M12=0,0,('[1]Target Risk'!$D$8*(VLOOKUP(A12,[1]!TOX,4,FALSE))*(VLOOKUP(A12,[1]!TOX,37,FALSE)))/('GW-1 Exp'!$V$13*'GW-1 Derm'!$M12)),('[1]Target Risk'!$D$8*(VLOOKUP(A12,[1]!TOX,4,FALSE))*(VLOOKUP(A12,[1]!TOX,37,FALSE)))/('GW-1 Exp'!$J$18*'GW-1 Derm'!$Q12))</f>
        <v>33.225249077052901</v>
      </c>
      <c r="S12" s="574">
        <f>IF(OR(VLOOKUP(A12,[1]!TOX,12,FALSE)=0,VLOOKUP(A12,[1]!TOX,38,FALSE)=0),0,IF(K12=0,('[1]Target Risk'!$D$12*(VLOOKUP(A12,[1]!TOX,38,FALSE)))/('GW-1 Exp'!$V$21*'GW-1 Derm'!N12*(VLOOKUP(A12,[1]!TOX,12,FALSE))),IF(Q12=0,0,('[1]Target Risk'!$D$12*(VLOOKUP(A12,[1]!TOX,38,FALSE)))/('GW-1 Exp'!$J$26*'GW-1 Derm'!Q12*(VLOOKUP(A12,[1]!TOX,12,FALSE))))))</f>
        <v>0</v>
      </c>
      <c r="T12" s="575">
        <f>IF(OR(VLOOKUP(A12,[1]!TOX,12,FALSE)=0,VLOOKUP(A12,[1]!TOX,38,FALSE)=0),0,IF(NOT(VLOOKUP(A12,[1]!TOX,36,FALSE)="M"), IF(K12=0,('[1]Target Risk'!$D$12*(VLOOKUP(A12,[1]!TOX,38,FALSE)))/('GW-1 Exp'!$V$21*'GW-1 Derm'!N12*(VLOOKUP(A12,[1]!TOX,12,FALSE))),IF(Q12=0,0,('[1]Target Risk'!$D$12*(VLOOKUP(A12,[1]!TOX,38,FALSE)))/('GW-1 Exp'!$J$26*'GW-1 Derm'!Q12*(VLOOKUP(A12,[1]!TOX,12,FALSE))))), IF(K12=0,('[1]Target Risk'!$D$12*(VLOOKUP(A12,[1]!TOX,38,FALSE)))/(('GW-1 Exp'!$V$26*'GW-1 Derm'!AB12*(VLOOKUP(A12,[1]!TOX,12,FALSE))*10)+('GW-1 Exp'!$V$27*'GW-1 Derm'!AC12*(VLOOKUP(A12,[1]!TOX,12,FALSE))*3)+('GW-1 Exp'!$V$28*'GW-1 Derm'!AD12*(VLOOKUP(A12,[1]!TOX,12,FALSE))*3)+('GW-1 Exp'!$V$29*'GW-1 Derm'!AE12*(VLOOKUP(A12,[1]!TOX,12,FALSE))*1)),IF(Q12=0,0,(('[1]Target Risk'!$D$12*(VLOOKUP(A12,[1]!TOX,38,FALSE)))/(('GW-1 Exp'!$J$33*'GW-1 Derm'!Q12*(VLOOKUP(A12,[1]!TOX,12,FALSE))*10)+('GW-1 Exp'!$J$34*'GW-1 Derm'!Q12*(VLOOKUP(A12,[1]!TOX,12,FALSE))*3)+('GW-1 Exp'!$J$35*'GW-1 Derm'!Q12*(VLOOKUP(A12,[1]!TOX,12,FALSE))*3)+('GW-1 Exp'!$J$36*'GW-1 Derm'!Q12*(VLOOKUP(A12,[1]!TOX,12,FALSE))*1)))))))</f>
        <v>0</v>
      </c>
      <c r="AB12" s="838">
        <f>L12*IF('GW-1 Exp'!U$26&lt;=$E12,2*(VLOOKUP(A12,[1]!TOX,67,FALSE))*1*0.000001*SQRT(6*$C12*'GW-1 Exp'!$U$26/PI()),(VLOOKUP(A12,[1]!TOX,67,FALSE))*1*0.000001*('GW-1 Exp'!$U$26/(1+$B12)+2*$C12*(1+3*$B12+3*$B12^2)/(1+$B12)^2))</f>
        <v>1.4146867340685742E-9</v>
      </c>
      <c r="AC12" s="837">
        <f>L12*IF('GW-1 Exp'!U$27&lt;=$E12,2*(VLOOKUP(A12,[1]!TOX,67,FALSE))*1*0.000001*SQRT(6*$C12*'GW-1 Exp'!$U$27/PI()),(VLOOKUP(A12,[1]!TOX,67,FALSE))*1*0.000001*('GW-1 Exp'!$U$27/(1+$B12)+2*$C12*(1+3*$B12+3*$B12^2)/(1+$B12)^2))</f>
        <v>1.5350618068628556E-9</v>
      </c>
      <c r="AD12" s="837">
        <f>L12*IF('GW-1 Exp'!U$28&lt;=$E12,2*(VLOOKUP(A12,[1]!TOX,67,FALSE))*1*0.000001*SQRT(6*$C12*'GW-1 Exp'!$U$28/PI()),(VLOOKUP(A12,[1]!TOX,67,FALSE))*1*0.000001*('GW-1 Exp'!$U$28/(1+$B12)+2*$C12*(1+3*$B12+3*$B12^2)/(1+$B12)^2))</f>
        <v>1.6169885540297429E-9</v>
      </c>
      <c r="AE12" s="839">
        <f>L12*IF('GW-1 Exp'!U$29&lt;=$E12,2*(VLOOKUP(A12,[1]!TOX,67,FALSE))*1*0.000001*SQRT(6*$C12*'GW-1 Exp'!$U$29/PI()),(VLOOKUP(A12,[1]!TOX,67,FALSE))*1*0.000001*('GW-1 Exp'!$U$29/(1+$B12)+2*$C12*(1+3*$B12+3*$B12^2)/(1+$B12)^2))</f>
        <v>1.8782185862122662E-9</v>
      </c>
    </row>
    <row r="13" spans="1:31" x14ac:dyDescent="0.25">
      <c r="A13" s="541" t="s">
        <v>164</v>
      </c>
      <c r="B13" s="587">
        <f>(VLOOKUP(A13,[1]!TOX,67,FALSE))*(SQRT((VLOOKUP(A13,[1]!TOX,57,FALSE)))/2.6)</f>
        <v>3.3308669376324565E-3</v>
      </c>
      <c r="C13" s="596">
        <f>('GW-1 Exp'!$O$29^2)/(6*D13)</f>
        <v>0.27659781790626015</v>
      </c>
      <c r="D13" s="486">
        <f>10^(-2.8-(0.0056*(VLOOKUP(A13,[1]!TOX,57,FALSE))))*'GW-1 Exp'!$O$29</f>
        <v>6.0255958607435763E-7</v>
      </c>
      <c r="E13" s="597">
        <f t="shared" si="0"/>
        <v>0.66383476297502431</v>
      </c>
      <c r="F13" s="597">
        <f>IF(B13&lt;=0.6,0,(G13-SQRT(G13^2-H13^2))*('GW-1 Exp'!$O$29^2/D13))</f>
        <v>0</v>
      </c>
      <c r="G13" s="582">
        <f t="shared" si="1"/>
        <v>0.30531022972080979</v>
      </c>
      <c r="H13" s="598">
        <f t="shared" si="2"/>
        <v>0.33555759723920653</v>
      </c>
      <c r="I13" s="854">
        <f>(VLOOKUP(A13,[1]!TOX,67,FALSE))*1*0.000001*'GW-1 Exp'!$U$13</f>
        <v>5.9285714285714288E-10</v>
      </c>
      <c r="J13" s="855">
        <f>(VLOOKUP(A12,[1]!TOX,67,FALSE))*1*0.000001*'GW-1 Exp'!$U$21</f>
        <v>7.6555555555555563E-10</v>
      </c>
      <c r="K13" s="482"/>
      <c r="L13" s="554">
        <v>1</v>
      </c>
      <c r="M13" s="481">
        <f t="shared" si="3"/>
        <v>5.9285714285714288E-10</v>
      </c>
      <c r="N13" s="483">
        <f t="shared" si="4"/>
        <v>7.6555555555555563E-10</v>
      </c>
      <c r="O13" s="486" t="str">
        <f>IF(VLOOKUP(A13,[1]!TOX,81,FALSE)="Y","Inorganic",IF(K13="*","Streamlined",IF($E13=0,"Reduced Steady State",IF('GW-1 Exp'!$U$13&lt;=$E13,"Non-Steady State","Steady State"))))</f>
        <v>Inorganic</v>
      </c>
      <c r="P13" s="485" t="str">
        <f>IF(VLOOKUP(A13,[1]!TOX,81,FALSE)="Y","Inorganic",IF(K13="*","Streamlined",IF($E13=0,0,IF('GW-1 Exp'!$U$21&lt;=$E13,"Non-Steady State","Steady State"))))</f>
        <v>Inorganic</v>
      </c>
      <c r="Q13" s="563">
        <f>IF(K13=0,0,IF((VLOOKUP(A13,[1]!TOX,67,FALSE))=0,0,IF((VLOOKUP(A13,[1]!TOX,67,FALSE))&lt;0.5,0.2,1)))</f>
        <v>0</v>
      </c>
      <c r="R13" s="614">
        <f>IF(K13=0,IF(M13=0,0,('[1]Target Risk'!$D$8*(VLOOKUP(A13,[1]!TOX,4,FALSE))*(VLOOKUP(A13,[1]!TOX,37,FALSE)))/('GW-1 Exp'!$V$13*'GW-1 Derm'!$M13)),('[1]Target Risk'!$D$8*(VLOOKUP(A13,[1]!TOX,4,FALSE))*(VLOOKUP(A13,[1]!TOX,37,FALSE)))/('GW-1 Exp'!$J$18*'GW-1 Derm'!$Q13))</f>
        <v>244.20558071633877</v>
      </c>
      <c r="S13" s="574">
        <f>IF(OR(VLOOKUP(A13,[1]!TOX,12,FALSE)=0,VLOOKUP(A13,[1]!TOX,38,FALSE)=0),0,IF(K13=0,('[1]Target Risk'!$D$12*(VLOOKUP(A13,[1]!TOX,38,FALSE)))/('GW-1 Exp'!$V$21*'GW-1 Derm'!N13*(VLOOKUP(A13,[1]!TOX,12,FALSE))),IF(Q13=0,0,('[1]Target Risk'!$D$12*(VLOOKUP(A13,[1]!TOX,38,FALSE)))/('GW-1 Exp'!$J$26*'GW-1 Derm'!Q13*(VLOOKUP(A13,[1]!TOX,12,FALSE))))))</f>
        <v>6.3814264575411901</v>
      </c>
      <c r="T13" s="575">
        <f>IF(OR(VLOOKUP(A13,[1]!TOX,12,FALSE)=0,VLOOKUP(A13,[1]!TOX,38,FALSE)=0),0,IF(NOT(VLOOKUP(A13,[1]!TOX,36,FALSE)="M"), IF(K13=0,('[1]Target Risk'!$D$12*(VLOOKUP(A13,[1]!TOX,38,FALSE)))/('GW-1 Exp'!$V$21*'GW-1 Derm'!N13*(VLOOKUP(A13,[1]!TOX,12,FALSE))),IF(Q13=0,0,('[1]Target Risk'!$D$12*(VLOOKUP(A13,[1]!TOX,38,FALSE)))/('GW-1 Exp'!$J$26*'GW-1 Derm'!Q13*(VLOOKUP(A13,[1]!TOX,12,FALSE))))), IF(K13=0,('[1]Target Risk'!$D$12*(VLOOKUP(A13,[1]!TOX,38,FALSE)))/(('GW-1 Exp'!$V$26*'GW-1 Derm'!AB13*(VLOOKUP(A13,[1]!TOX,12,FALSE))*10)+('GW-1 Exp'!$V$27*'GW-1 Derm'!AC13*(VLOOKUP(A13,[1]!TOX,12,FALSE))*3)+('GW-1 Exp'!$V$28*'GW-1 Derm'!AD13*(VLOOKUP(A13,[1]!TOX,12,FALSE))*3)+('GW-1 Exp'!$V$29*'GW-1 Derm'!AE13*(VLOOKUP(A13,[1]!TOX,12,FALSE))*1)),IF(Q13=0,0,(('[1]Target Risk'!$D$12*(VLOOKUP(A13,[1]!TOX,38,FALSE)))/(('GW-1 Exp'!$J$33*'GW-1 Derm'!Q13*(VLOOKUP(A13,[1]!TOX,12,FALSE))*10)+('GW-1 Exp'!$J$34*'GW-1 Derm'!Q13*(VLOOKUP(A13,[1]!TOX,12,FALSE))*3)+('GW-1 Exp'!$J$35*'GW-1 Derm'!Q13*(VLOOKUP(A13,[1]!TOX,12,FALSE))*3)+('GW-1 Exp'!$J$36*'GW-1 Derm'!Q13*(VLOOKUP(A13,[1]!TOX,12,FALSE))*1)))))))</f>
        <v>6.3814264575411901</v>
      </c>
      <c r="AB13" s="838">
        <f>L13*IF('GW-1 Exp'!U$26&lt;=$E13,2*(VLOOKUP(A13,[1]!TOX,67,FALSE))*1*0.000001*SQRT(6*$C13*'GW-1 Exp'!$U$26/PI()),(VLOOKUP(A13,[1]!TOX,67,FALSE))*1*0.000001*('GW-1 Exp'!$U$26/(1+$B13)+2*$C13*(1+3*$B13+3*$B13^2)/(1+$B13)^2))</f>
        <v>1.0448652387804318E-9</v>
      </c>
      <c r="AC13" s="837">
        <f>L13*IF('GW-1 Exp'!U$27&lt;=$E13,2*(VLOOKUP(A13,[1]!TOX,67,FALSE))*1*0.000001*SQRT(6*$C13*'GW-1 Exp'!$U$27/PI()),(VLOOKUP(A13,[1]!TOX,67,FALSE))*1*0.000001*('GW-1 Exp'!$U$27/(1+$B13)+2*$C13*(1+3*$B13+3*$B13^2)/(1+$B13)^2))</f>
        <v>1.1337723629864275E-9</v>
      </c>
      <c r="AD13" s="837">
        <f>L13*IF('GW-1 Exp'!U$28&lt;=$E13,2*(VLOOKUP(A13,[1]!TOX,67,FALSE))*1*0.000001*SQRT(6*$C13*'GW-1 Exp'!$U$28/PI()),(VLOOKUP(A13,[1]!TOX,67,FALSE))*1*0.000001*('GW-1 Exp'!$U$28/(1+$B13)+2*$C13*(1+3*$B13+3*$B13^2)/(1+$B13)^2))</f>
        <v>1.2277973654188079E-9</v>
      </c>
      <c r="AE13" s="839">
        <f>L13*IF('GW-1 Exp'!U$29&lt;=$E13,2*(VLOOKUP(A13,[1]!TOX,67,FALSE))*1*0.000001*SQRT(6*$C13*'GW-1 Exp'!$U$29/PI()),(VLOOKUP(A13,[1]!TOX,67,FALSE))*1*0.000001*('GW-1 Exp'!$U$29/(1+$B13)+2*$C13*(1+3*$B13+3*$B13^2)/(1+$B13)^2))</f>
        <v>1.4627291247034925E-9</v>
      </c>
    </row>
    <row r="14" spans="1:31" x14ac:dyDescent="0.25">
      <c r="A14" s="541" t="s">
        <v>166</v>
      </c>
      <c r="B14" s="587">
        <f>(VLOOKUP(A14,[1]!TOX,67,FALSE))*(SQRT((VLOOKUP(A14,[1]!TOX,57,FALSE)))/2.6)</f>
        <v>4.5018076579690864E-3</v>
      </c>
      <c r="C14" s="596">
        <f>('GW-1 Exp'!$O$29^2)/(6*D14)</f>
        <v>0.61524593027568786</v>
      </c>
      <c r="D14" s="486">
        <f>10^(-2.8-(0.0056*(VLOOKUP(A14,[1]!TOX,57,FALSE))))*'GW-1 Exp'!$O$29</f>
        <v>2.7089438298597825E-7</v>
      </c>
      <c r="E14" s="597">
        <f t="shared" si="0"/>
        <v>1.4765902326616509</v>
      </c>
      <c r="F14" s="597">
        <f>IF(B14&lt;=0.6,0,(G14-SQRT(G14^2-H14^2))*('GW-1 Exp'!$O$29^2/D14))</f>
        <v>0</v>
      </c>
      <c r="G14" s="582">
        <f t="shared" si="1"/>
        <v>0.30602329022270391</v>
      </c>
      <c r="H14" s="598">
        <f t="shared" si="2"/>
        <v>0.33634126358738314</v>
      </c>
      <c r="I14" s="854">
        <f>(VLOOKUP(A14,[1]!TOX,67,FALSE))*1*0.000001*'GW-1 Exp'!$U$13</f>
        <v>5.9285714285714288E-10</v>
      </c>
      <c r="J14" s="855">
        <f>(VLOOKUP(A13,[1]!TOX,67,FALSE))*1*0.000001*'GW-1 Exp'!$U$21</f>
        <v>7.6555555555555563E-10</v>
      </c>
      <c r="K14" s="482"/>
      <c r="L14" s="554">
        <v>1</v>
      </c>
      <c r="M14" s="481">
        <f t="shared" si="3"/>
        <v>5.9285714285714288E-10</v>
      </c>
      <c r="N14" s="483">
        <f t="shared" si="4"/>
        <v>7.6555555555555563E-10</v>
      </c>
      <c r="O14" s="486" t="str">
        <f>IF(VLOOKUP(A14,[1]!TOX,81,FALSE)="Y","Inorganic",IF(K14="*","Streamlined",IF($E14=0,"Reduced Steady State",IF('GW-1 Exp'!$U$13&lt;=$E14,"Non-Steady State","Steady State"))))</f>
        <v>Inorganic</v>
      </c>
      <c r="P14" s="485" t="str">
        <f>IF(VLOOKUP(A14,[1]!TOX,81,FALSE)="Y","Inorganic",IF(K14="*","Streamlined",IF($E14=0,0,IF('GW-1 Exp'!$U$21&lt;=$E14,"Non-Steady State","Steady State"))))</f>
        <v>Inorganic</v>
      </c>
      <c r="Q14" s="563">
        <f>IF(K14=0,0,IF((VLOOKUP(A14,[1]!TOX,67,FALSE))=0,0,IF((VLOOKUP(A14,[1]!TOX,67,FALSE))&lt;0.5,0.2,1)))</f>
        <v>0</v>
      </c>
      <c r="R14" s="614">
        <f>IF(K14=0,IF(M14=0,0,('[1]Target Risk'!$D$8*(VLOOKUP(A14,[1]!TOX,4,FALSE))*(VLOOKUP(A14,[1]!TOX,37,FALSE)))/('GW-1 Exp'!$V$13*'GW-1 Derm'!$M14)),('[1]Target Risk'!$D$8*(VLOOKUP(A14,[1]!TOX,4,FALSE))*(VLOOKUP(A14,[1]!TOX,37,FALSE)))/('GW-1 Exp'!$J$18*'GW-1 Derm'!$Q14))</f>
        <v>151174.88330059074</v>
      </c>
      <c r="S14" s="574">
        <f>IF(OR(VLOOKUP(A14,[1]!TOX,12,FALSE)=0,VLOOKUP(A14,[1]!TOX,38,FALSE)=0),0,IF(K14=0,('[1]Target Risk'!$D$12*(VLOOKUP(A14,[1]!TOX,38,FALSE)))/('GW-1 Exp'!$V$21*'GW-1 Derm'!N14*(VLOOKUP(A14,[1]!TOX,12,FALSE))),IF(Q14=0,0,('[1]Target Risk'!$D$12*(VLOOKUP(A14,[1]!TOX,38,FALSE)))/('GW-1 Exp'!$J$26*'GW-1 Derm'!Q14*(VLOOKUP(A14,[1]!TOX,12,FALSE))))))</f>
        <v>0</v>
      </c>
      <c r="T14" s="575">
        <f>IF(OR(VLOOKUP(A14,[1]!TOX,12,FALSE)=0,VLOOKUP(A14,[1]!TOX,38,FALSE)=0),0,IF(NOT(VLOOKUP(A14,[1]!TOX,36,FALSE)="M"), IF(K14=0,('[1]Target Risk'!$D$12*(VLOOKUP(A14,[1]!TOX,38,FALSE)))/('GW-1 Exp'!$V$21*'GW-1 Derm'!N14*(VLOOKUP(A14,[1]!TOX,12,FALSE))),IF(Q14=0,0,('[1]Target Risk'!$D$12*(VLOOKUP(A14,[1]!TOX,38,FALSE)))/('GW-1 Exp'!$J$26*'GW-1 Derm'!Q14*(VLOOKUP(A14,[1]!TOX,12,FALSE))))), IF(K14=0,('[1]Target Risk'!$D$12*(VLOOKUP(A14,[1]!TOX,38,FALSE)))/(('GW-1 Exp'!$V$26*'GW-1 Derm'!AB14*(VLOOKUP(A14,[1]!TOX,12,FALSE))*10)+('GW-1 Exp'!$V$27*'GW-1 Derm'!AC14*(VLOOKUP(A14,[1]!TOX,12,FALSE))*3)+('GW-1 Exp'!$V$28*'GW-1 Derm'!AD14*(VLOOKUP(A14,[1]!TOX,12,FALSE))*3)+('GW-1 Exp'!$V$29*'GW-1 Derm'!AE14*(VLOOKUP(A14,[1]!TOX,12,FALSE))*1)),IF(Q14=0,0,(('[1]Target Risk'!$D$12*(VLOOKUP(A14,[1]!TOX,38,FALSE)))/(('GW-1 Exp'!$J$33*'GW-1 Derm'!Q14*(VLOOKUP(A14,[1]!TOX,12,FALSE))*10)+('GW-1 Exp'!$J$34*'GW-1 Derm'!Q14*(VLOOKUP(A14,[1]!TOX,12,FALSE))*3)+('GW-1 Exp'!$J$35*'GW-1 Derm'!Q14*(VLOOKUP(A14,[1]!TOX,12,FALSE))*3)+('GW-1 Exp'!$J$36*'GW-1 Derm'!Q14*(VLOOKUP(A14,[1]!TOX,12,FALSE))*1)))))))</f>
        <v>0</v>
      </c>
      <c r="AB14" s="838">
        <f>L14*IF('GW-1 Exp'!U$26&lt;=$E14,2*(VLOOKUP(A14,[1]!TOX,67,FALSE))*1*0.000001*SQRT(6*$C14*'GW-1 Exp'!$U$26/PI()),(VLOOKUP(A14,[1]!TOX,67,FALSE))*1*0.000001*('GW-1 Exp'!$U$26/(1+$B14)+2*$C14*(1+3*$B14+3*$B14^2)/(1+$B14)^2))</f>
        <v>1.5583330482632953E-9</v>
      </c>
      <c r="AC14" s="837">
        <f>L14*IF('GW-1 Exp'!U$27&lt;=$E14,2*(VLOOKUP(A14,[1]!TOX,67,FALSE))*1*0.000001*SQRT(6*$C14*'GW-1 Exp'!$U$27/PI()),(VLOOKUP(A14,[1]!TOX,67,FALSE))*1*0.000001*('GW-1 Exp'!$U$27/(1+$B14)+2*$C14*(1+3*$B14+3*$B14^2)/(1+$B14)^2))</f>
        <v>1.6909309228351055E-9</v>
      </c>
      <c r="AD14" s="837">
        <f>L14*IF('GW-1 Exp'!U$28&lt;=$E14,2*(VLOOKUP(A14,[1]!TOX,67,FALSE))*1*0.000001*SQRT(6*$C14*'GW-1 Exp'!$U$28/PI()),(VLOOKUP(A14,[1]!TOX,67,FALSE))*1*0.000001*('GW-1 Exp'!$U$28/(1+$B14)+2*$C14*(1+3*$B14+3*$B14^2)/(1+$B14)^2))</f>
        <v>1.7811764553422924E-9</v>
      </c>
      <c r="AE14" s="839">
        <f>L14*IF('GW-1 Exp'!U$29&lt;=$E14,2*(VLOOKUP(A14,[1]!TOX,67,FALSE))*1*0.000001*SQRT(6*$C14*'GW-1 Exp'!$U$29/PI()),(VLOOKUP(A14,[1]!TOX,67,FALSE))*1*0.000001*('GW-1 Exp'!$U$29/(1+$B14)+2*$C14*(1+3*$B14+3*$B14^2)/(1+$B14)^2))</f>
        <v>2.0689316046241112E-9</v>
      </c>
    </row>
    <row r="15" spans="1:31" x14ac:dyDescent="0.25">
      <c r="A15" s="540" t="s">
        <v>167</v>
      </c>
      <c r="B15" s="587">
        <f>(VLOOKUP(A15,[1]!TOX,67,FALSE))*(SQRT((VLOOKUP(A15,[1]!TOX,57,FALSE)))/2.6)</f>
        <v>5.0127258502962985E-2</v>
      </c>
      <c r="C15" s="596">
        <f>('GW-1 Exp'!$O$29^2)/(6*D15)</f>
        <v>0.28750721620764047</v>
      </c>
      <c r="D15" s="486">
        <f>10^(-2.8-(0.0056*(VLOOKUP(A15,[1]!TOX,57,FALSE))))*'GW-1 Exp'!$O$29</f>
        <v>5.7969559465352132E-7</v>
      </c>
      <c r="E15" s="597">
        <f t="shared" si="0"/>
        <v>0.69001731889833706</v>
      </c>
      <c r="F15" s="597">
        <f>IF(B15&lt;=0.6,0,(G15-SQRT(G15^2-H15^2))*('GW-1 Exp'!$O$29^2/D15))</f>
        <v>0</v>
      </c>
      <c r="G15" s="582">
        <f t="shared" si="1"/>
        <v>0.33449433654337413</v>
      </c>
      <c r="H15" s="598">
        <f t="shared" si="2"/>
        <v>0.36754910488806258</v>
      </c>
      <c r="I15" s="606">
        <f>IF('GW-1 Exp'!$U$13&lt;=$E15,2*(VLOOKUP(A15,[1]!TOX,67,FALSE))*1*0.000001*SQRT(6*$C15*'GW-1 Exp'!$U$13/PI()),(VLOOKUP(A15,[1]!TOX,67,FALSE))*1*0.000001*('GW-1 Exp'!$U$13/(1+$B15)+2*$C15*(1+3*$B15+3*$B15^2)/(1+$B15)^2))</f>
        <v>1.6839534719505385E-8</v>
      </c>
      <c r="J15" s="607">
        <f>IF('GW-1 Exp'!$U$21&lt;=$E15,2*(VLOOKUP(A15,[1]!TOX,67,FALSE))*1*0.000001*SQRT(6*$C15*'GW-1 Exp'!$U$21/PI()),(VLOOKUP(A15,[1]!TOX,67,FALSE))*1*0.000001*('GW-1 Exp'!$U$21/(1+$B15)+2*$C15*(1+3*$B15+3*$B15^2)/(1+$B15)^2))</f>
        <v>1.9667992749679485E-8</v>
      </c>
      <c r="K15" s="482"/>
      <c r="L15" s="554">
        <v>1</v>
      </c>
      <c r="M15" s="481">
        <f t="shared" si="3"/>
        <v>1.6839534719505385E-8</v>
      </c>
      <c r="N15" s="483">
        <f t="shared" si="4"/>
        <v>1.9667992749679485E-8</v>
      </c>
      <c r="O15" s="486" t="str">
        <f>IF(VLOOKUP(A15,[1]!TOX,81,FALSE)="Y","Inorganic",IF(K15="*","Streamlined",IF($E15=0,"Reduced Steady State",IF('GW-1 Exp'!$U$13&lt;=$E15,"Non-Steady State","Steady State"))))</f>
        <v>Non-Steady State</v>
      </c>
      <c r="P15" s="485" t="str">
        <f>IF(VLOOKUP(A15,[1]!TOX,81,FALSE)="Y","Inorganic",IF(K15="*","Streamlined",IF($E15=0,0,IF('GW-1 Exp'!$U$21&lt;=$E15,"Non-Steady State","Steady State"))))</f>
        <v>Steady State</v>
      </c>
      <c r="Q15" s="563">
        <f>IF(K15=0,0,IF((VLOOKUP(A15,[1]!TOX,67,FALSE))=0,0,IF((VLOOKUP(A15,[1]!TOX,67,FALSE))&lt;0.5,0.2,1)))</f>
        <v>0</v>
      </c>
      <c r="R15" s="614">
        <f>IF(K15=0,IF(M15=0,0,('[1]Target Risk'!$D$8*(VLOOKUP(A15,[1]!TOX,4,FALSE))*(VLOOKUP(A15,[1]!TOX,37,FALSE)))/('GW-1 Exp'!$V$13*'GW-1 Derm'!$M15)),('[1]Target Risk'!$D$8*(VLOOKUP(A15,[1]!TOX,4,FALSE))*(VLOOKUP(A15,[1]!TOX,37,FALSE)))/('GW-1 Exp'!$J$18*'GW-1 Derm'!$Q15))</f>
        <v>116.97369652216302</v>
      </c>
      <c r="S15" s="574">
        <f>IF(OR(VLOOKUP(A15,[1]!TOX,12,FALSE)=0,VLOOKUP(A15,[1]!TOX,38,FALSE)=0),0,IF(K15=0,('[1]Target Risk'!$D$12*(VLOOKUP(A15,[1]!TOX,38,FALSE)))/('GW-1 Exp'!$V$21*'GW-1 Derm'!N15*(VLOOKUP(A15,[1]!TOX,12,FALSE))),IF(Q15=0,0,('[1]Target Risk'!$D$12*(VLOOKUP(A15,[1]!TOX,38,FALSE)))/('GW-1 Exp'!$J$26*'GW-1 Derm'!Q15*(VLOOKUP(A15,[1]!TOX,12,FALSE))))))</f>
        <v>6.9125285082768642</v>
      </c>
      <c r="T15" s="575">
        <f>IF(OR(VLOOKUP(A15,[1]!TOX,12,FALSE)=0,VLOOKUP(A15,[1]!TOX,38,FALSE)=0),0,IF(NOT(VLOOKUP(A15,[1]!TOX,36,FALSE)="M"), IF(K15=0,('[1]Target Risk'!$D$12*(VLOOKUP(A15,[1]!TOX,38,FALSE)))/('GW-1 Exp'!$V$21*'GW-1 Derm'!N15*(VLOOKUP(A15,[1]!TOX,12,FALSE))),IF(Q15=0,0,('[1]Target Risk'!$D$12*(VLOOKUP(A15,[1]!TOX,38,FALSE)))/('GW-1 Exp'!$J$26*'GW-1 Derm'!Q15*(VLOOKUP(A15,[1]!TOX,12,FALSE))))), IF(K15=0,('[1]Target Risk'!$D$12*(VLOOKUP(A15,[1]!TOX,38,FALSE)))/(('GW-1 Exp'!$V$26*'GW-1 Derm'!AB15*(VLOOKUP(A15,[1]!TOX,12,FALSE))*10)+('GW-1 Exp'!$V$27*'GW-1 Derm'!AC15*(VLOOKUP(A15,[1]!TOX,12,FALSE))*3)+('GW-1 Exp'!$V$28*'GW-1 Derm'!AD15*(VLOOKUP(A15,[1]!TOX,12,FALSE))*3)+('GW-1 Exp'!$V$29*'GW-1 Derm'!AE15*(VLOOKUP(A15,[1]!TOX,12,FALSE))*1)),IF(Q15=0,0,(('[1]Target Risk'!$D$12*(VLOOKUP(A15,[1]!TOX,38,FALSE)))/(('GW-1 Exp'!$J$33*'GW-1 Derm'!Q15*(VLOOKUP(A15,[1]!TOX,12,FALSE))*10)+('GW-1 Exp'!$J$34*'GW-1 Derm'!Q15*(VLOOKUP(A15,[1]!TOX,12,FALSE))*3)+('GW-1 Exp'!$J$35*'GW-1 Derm'!Q15*(VLOOKUP(A15,[1]!TOX,12,FALSE))*3)+('GW-1 Exp'!$J$36*'GW-1 Derm'!Q15*(VLOOKUP(A15,[1]!TOX,12,FALSE))*1)))))))</f>
        <v>6.9125285082768642</v>
      </c>
      <c r="AB15" s="838">
        <f>L15*IF('GW-1 Exp'!U$26&lt;=$E15,2*(VLOOKUP(A15,[1]!TOX,67,FALSE))*1*0.000001*SQRT(6*$C15*'GW-1 Exp'!$U$26/PI()),(VLOOKUP(A15,[1]!TOX,67,FALSE))*1*0.000001*('GW-1 Exp'!$U$26/(1+$B15)+2*$C15*(1+3*$B15+3*$B15^2)/(1+$B15)^2))</f>
        <v>1.5720280140539833E-8</v>
      </c>
      <c r="AC15" s="837">
        <f>L15*IF('GW-1 Exp'!U$27&lt;=$E15,2*(VLOOKUP(A15,[1]!TOX,67,FALSE))*1*0.000001*SQRT(6*$C15*'GW-1 Exp'!$U$27/PI()),(VLOOKUP(A15,[1]!TOX,67,FALSE))*1*0.000001*('GW-1 Exp'!$U$27/(1+$B15)+2*$C15*(1+3*$B15+3*$B15^2)/(1+$B15)^2))</f>
        <v>1.7057911872493468E-8</v>
      </c>
      <c r="AD15" s="837">
        <f>L15*IF('GW-1 Exp'!U$28&lt;=$E15,2*(VLOOKUP(A15,[1]!TOX,67,FALSE))*1*0.000001*SQRT(6*$C15*'GW-1 Exp'!$U$28/PI()),(VLOOKUP(A15,[1]!TOX,67,FALSE))*1*0.000001*('GW-1 Exp'!$U$28/(1+$B15)+2*$C15*(1+3*$B15+3*$B15^2)/(1+$B15)^2))</f>
        <v>1.796829816894418E-8</v>
      </c>
      <c r="AE15" s="839">
        <f>L15*IF('GW-1 Exp'!U$29&lt;=$E15,2*(VLOOKUP(A15,[1]!TOX,67,FALSE))*1*0.000001*SQRT(6*$C15*'GW-1 Exp'!$U$29/PI()),(VLOOKUP(A15,[1]!TOX,67,FALSE))*1*0.000001*('GW-1 Exp'!$U$29/(1+$B15)+2*$C15*(1+3*$B15+3*$B15^2)/(1+$B15)^2))</f>
        <v>2.1707856820655476E-8</v>
      </c>
    </row>
    <row r="16" spans="1:31" x14ac:dyDescent="0.25">
      <c r="A16" s="540" t="s">
        <v>168</v>
      </c>
      <c r="B16" s="587">
        <f>(VLOOKUP(A16,[1]!TOX,67,FALSE))*(SQRT((VLOOKUP(A16,[1]!TOX,57,FALSE)))/2.6)</f>
        <v>3.0817263766534193</v>
      </c>
      <c r="C16" s="596">
        <f>('GW-1 Exp'!$O$29^2)/(6*D16)</f>
        <v>1.9890639653513249</v>
      </c>
      <c r="D16" s="486">
        <f>10^(-2.8-(0.0056*(VLOOKUP(A16,[1]!TOX,57,FALSE))))*'GW-1 Exp'!$O$29</f>
        <v>8.3791506743840996E-8</v>
      </c>
      <c r="E16" s="597">
        <f t="shared" si="0"/>
        <v>8.4220920322270505</v>
      </c>
      <c r="F16" s="597">
        <f>IF(B16&lt;=0.6,0,(G16-SQRT(G16^2-H16^2))*('GW-1 Exp'!$O$29^2/D16))</f>
        <v>8.4220920322270505</v>
      </c>
      <c r="G16" s="582">
        <f t="shared" si="1"/>
        <v>7.4430063193748506</v>
      </c>
      <c r="H16" s="598">
        <f t="shared" si="2"/>
        <v>3.1633911681102713</v>
      </c>
      <c r="I16" s="606">
        <f>IF('GW-1 Exp'!$U$13&lt;=$E16,2*(VLOOKUP(A16,[1]!TOX,67,FALSE))*1*0.000001*SQRT(6*$C16*'GW-1 Exp'!$U$13/PI()),(VLOOKUP(A16,[1]!TOX,67,FALSE))*1*0.000001*('GW-1 Exp'!$U$13/(1+$B16)+2*$C16*(1+3*$B16+3*$B16^2)/(1+$B16)^2))</f>
        <v>1.5926857253776577E-6</v>
      </c>
      <c r="J16" s="607">
        <f>IF('GW-1 Exp'!$U$21&lt;=$E16,2*(VLOOKUP(A16,[1]!TOX,67,FALSE))*1*0.000001*SQRT(6*$C16*'GW-1 Exp'!$U$21/PI()),(VLOOKUP(A16,[1]!TOX,67,FALSE))*1*0.000001*('GW-1 Exp'!$U$21/(1+$B16)+2*$C16*(1+3*$B16+3*$B16^2)/(1+$B16)^2))</f>
        <v>1.8098534731788643E-6</v>
      </c>
      <c r="K16" s="482" t="s">
        <v>91</v>
      </c>
      <c r="L16" s="554">
        <v>1</v>
      </c>
      <c r="M16" s="481">
        <f t="shared" si="3"/>
        <v>1.5926857253776577E-6</v>
      </c>
      <c r="N16" s="483">
        <f t="shared" si="4"/>
        <v>1.8098534731788643E-6</v>
      </c>
      <c r="O16" s="486" t="str">
        <f>IF(VLOOKUP(A16,[1]!TOX,81,FALSE)="Y","Inorganic",IF(K16="*","Streamlined",IF($E16=0,"Reduced Steady State",IF('GW-1 Exp'!$U$13&lt;=$E16,"Non-Steady State","Steady State"))))</f>
        <v>Streamlined</v>
      </c>
      <c r="P16" s="485" t="str">
        <f>IF(VLOOKUP(A16,[1]!TOX,81,FALSE)="Y","Inorganic",IF(K16="*","Streamlined",IF($E16=0,0,IF('GW-1 Exp'!$U$21&lt;=$E16,"Non-Steady State","Steady State"))))</f>
        <v>Streamlined</v>
      </c>
      <c r="Q16" s="563">
        <f>IF(K16=0,0,IF((VLOOKUP(A16,[1]!TOX,67,FALSE))=0,0,IF((VLOOKUP(A16,[1]!TOX,67,FALSE))&lt;0.5,0.2,1)))</f>
        <v>1</v>
      </c>
      <c r="R16" s="614">
        <f>IF(K16=0,IF(M16=0,0,('[1]Target Risk'!$D$8*(VLOOKUP(A16,[1]!TOX,4,FALSE))*(VLOOKUP(A16,[1]!TOX,37,FALSE)))/('GW-1 Exp'!$V$13*'GW-1 Derm'!$M16)),('[1]Target Risk'!$D$8*(VLOOKUP(A16,[1]!TOX,4,FALSE))*(VLOOKUP(A16,[1]!TOX,37,FALSE)))/('GW-1 Exp'!$J$18*'GW-1 Derm'!$Q16))</f>
        <v>89.531291208791231</v>
      </c>
      <c r="S16" s="757">
        <f>IF(OR(VLOOKUP(A16,[1]!TOX,12,FALSE)=0,VLOOKUP(A16,[1]!TOX,38,FALSE)=0),0,IF(K16=0,('[1]Target Risk'!$D$12*(VLOOKUP(A16,[1]!TOX,38,FALSE)))/('GW-1 Exp'!$V$21*'GW-1 Derm'!N16*(VLOOKUP(A16,[1]!TOX,12,FALSE))),IF(Q16=0,0,('[1]Target Risk'!$D$12*(VLOOKUP(A16,[1]!TOX,38,FALSE)))/('GW-1 Exp'!$J$26*'GW-1 Derm'!Q16*(VLOOKUP(A16,[1]!TOX,12,FALSE))))))</f>
        <v>0.50841242809851983</v>
      </c>
      <c r="T16" s="575">
        <f>IF(OR(VLOOKUP(A16,[1]!TOX,12,FALSE)=0,VLOOKUP(A16,[1]!TOX,38,FALSE)=0),0,IF(NOT(VLOOKUP(A16,[1]!TOX,36,FALSE)="M"), IF(K16=0,('[1]Target Risk'!$D$12*(VLOOKUP(A16,[1]!TOX,38,FALSE)))/('GW-1 Exp'!$V$21*'GW-1 Derm'!N16*(VLOOKUP(A16,[1]!TOX,12,FALSE))),IF(Q16=0,0,('[1]Target Risk'!$D$12*(VLOOKUP(A16,[1]!TOX,38,FALSE)))/('GW-1 Exp'!$J$26*'GW-1 Derm'!Q16*(VLOOKUP(A16,[1]!TOX,12,FALSE))))), IF(K16=0,('[1]Target Risk'!$D$12*(VLOOKUP(A16,[1]!TOX,38,FALSE)))/(('GW-1 Exp'!$V$26*'GW-1 Derm'!AB16*(VLOOKUP(A16,[1]!TOX,12,FALSE))*10)+('GW-1 Exp'!$V$27*'GW-1 Derm'!AC16*(VLOOKUP(A16,[1]!TOX,12,FALSE))*3)+('GW-1 Exp'!$V$28*'GW-1 Derm'!AD16*(VLOOKUP(A16,[1]!TOX,12,FALSE))*3)+('GW-1 Exp'!$V$29*'GW-1 Derm'!AE16*(VLOOKUP(A16,[1]!TOX,12,FALSE))*1)),IF(Q16=0,0,(('[1]Target Risk'!$D$12*(VLOOKUP(A16,[1]!TOX,38,FALSE)))/(('GW-1 Exp'!$J$33*'GW-1 Derm'!Q16*(VLOOKUP(A16,[1]!TOX,12,FALSE))*10)+('GW-1 Exp'!$J$34*'GW-1 Derm'!Q16*(VLOOKUP(A16,[1]!TOX,12,FALSE))*3)+('GW-1 Exp'!$J$35*'GW-1 Derm'!Q16*(VLOOKUP(A16,[1]!TOX,12,FALSE))*3)+('GW-1 Exp'!$J$36*'GW-1 Derm'!Q16*(VLOOKUP(A16,[1]!TOX,12,FALSE))*1)))))))</f>
        <v>0.14050197834167966</v>
      </c>
      <c r="AB16" s="838">
        <f>L16*IF('GW-1 Exp'!U$26&lt;=$E16,2*(VLOOKUP(A16,[1]!TOX,67,FALSE))*1*0.000001*SQRT(6*$C16*'GW-1 Exp'!$U$26/PI()),(VLOOKUP(A16,[1]!TOX,67,FALSE))*1*0.000001*('GW-1 Exp'!$U$26/(1+$B16)+2*$C16*(1+3*$B16+3*$B16^2)/(1+$B16)^2))</f>
        <v>1.4868264590336067E-6</v>
      </c>
      <c r="AC16" s="837">
        <f>L16*IF('GW-1 Exp'!U$27&lt;=$E16,2*(VLOOKUP(A16,[1]!TOX,67,FALSE))*1*0.000001*SQRT(6*$C16*'GW-1 Exp'!$U$27/PI()),(VLOOKUP(A16,[1]!TOX,67,FALSE))*1*0.000001*('GW-1 Exp'!$U$27/(1+$B16)+2*$C16*(1+3*$B16+3*$B16^2)/(1+$B16)^2))</f>
        <v>1.613339869337459E-6</v>
      </c>
      <c r="AD16" s="837">
        <f>L16*IF('GW-1 Exp'!U$28&lt;=$E16,2*(VLOOKUP(A16,[1]!TOX,67,FALSE))*1*0.000001*SQRT(6*$C16*'GW-1 Exp'!$U$28/PI()),(VLOOKUP(A16,[1]!TOX,67,FALSE))*1*0.000001*('GW-1 Exp'!$U$28/(1+$B16)+2*$C16*(1+3*$B16+3*$B16^2)/(1+$B16)^2))</f>
        <v>1.6994443421206045E-6</v>
      </c>
      <c r="AE16" s="839">
        <f>L16*IF('GW-1 Exp'!U$29&lt;=$E16,2*(VLOOKUP(A16,[1]!TOX,67,FALSE))*1*0.000001*SQRT(6*$C16*'GW-1 Exp'!$U$29/PI()),(VLOOKUP(A16,[1]!TOX,67,FALSE))*1*0.000001*('GW-1 Exp'!$U$29/(1+$B16)+2*$C16*(1+3*$B16+3*$B16^2)/(1+$B16)^2))</f>
        <v>1.9739953889280807E-6</v>
      </c>
    </row>
    <row r="17" spans="1:31" x14ac:dyDescent="0.25">
      <c r="A17" s="540" t="s">
        <v>169</v>
      </c>
      <c r="B17" s="587">
        <f>(VLOOKUP(A17,[1]!TOX,67,FALSE))*(SQRT((VLOOKUP(A17,[1]!TOX,57,FALSE)))/2.6)</f>
        <v>4.1718330699736947</v>
      </c>
      <c r="C17" s="596">
        <f>('GW-1 Exp'!$O$29^2)/(6*D17)</f>
        <v>2.7104958683556819</v>
      </c>
      <c r="D17" s="486">
        <f>10^(-2.8-(0.0056*(VLOOKUP(A17,[1]!TOX,57,FALSE))))*'GW-1 Exp'!$O$29</f>
        <v>6.1489363851262668E-8</v>
      </c>
      <c r="E17" s="597">
        <f t="shared" si="0"/>
        <v>11.739069214093446</v>
      </c>
      <c r="F17" s="597">
        <f>IF(B17&lt;=0.6,0,(G17-SQRT(G17^2-H17^2))*('GW-1 Exp'!$O$29^2/D17))</f>
        <v>11.739069214093446</v>
      </c>
      <c r="G17" s="582">
        <f t="shared" si="1"/>
        <v>12.791930077374591</v>
      </c>
      <c r="H17" s="598">
        <f t="shared" si="2"/>
        <v>4.2362847506106007</v>
      </c>
      <c r="I17" s="606">
        <f>IF('GW-1 Exp'!$U$13&lt;=$E17,2*(VLOOKUP(A17,[1]!TOX,67,FALSE))*1*0.000001*SQRT(6*$C17*'GW-1 Exp'!$U$13/PI()),(VLOOKUP(A17,[1]!TOX,67,FALSE))*1*0.000001*('GW-1 Exp'!$U$13/(1+$B17)+2*$C17*(1+3*$B17+3*$B17^2)/(1+$B17)^2))</f>
        <v>2.394032752607684E-6</v>
      </c>
      <c r="J17" s="607">
        <f>IF('GW-1 Exp'!$U$21&lt;=$E17,2*(VLOOKUP(A17,[1]!TOX,67,FALSE))*1*0.000001*SQRT(6*$C17*'GW-1 Exp'!$U$21/PI()),(VLOOKUP(A17,[1]!TOX,67,FALSE))*1*0.000001*('GW-1 Exp'!$U$21/(1+$B17)+2*$C17*(1+3*$B17+3*$B17^2)/(1+$B17)^2))</f>
        <v>2.7204667080089315E-6</v>
      </c>
      <c r="K17" s="482" t="s">
        <v>91</v>
      </c>
      <c r="L17" s="554">
        <v>1</v>
      </c>
      <c r="M17" s="481">
        <f t="shared" si="3"/>
        <v>2.394032752607684E-6</v>
      </c>
      <c r="N17" s="483">
        <f t="shared" si="4"/>
        <v>2.7204667080089315E-6</v>
      </c>
      <c r="O17" s="486" t="str">
        <f>IF(VLOOKUP(A17,[1]!TOX,81,FALSE)="Y","Inorganic",IF(K17="*","Streamlined",IF($E17=0,"Reduced Steady State",IF('GW-1 Exp'!$U$13&lt;=$E17,"Non-Steady State","Steady State"))))</f>
        <v>Streamlined</v>
      </c>
      <c r="P17" s="485" t="str">
        <f>IF(VLOOKUP(A17,[1]!TOX,81,FALSE)="Y","Inorganic",IF(K17="*","Streamlined",IF($E17=0,0,IF('GW-1 Exp'!$U$21&lt;=$E17,"Non-Steady State","Steady State"))))</f>
        <v>Streamlined</v>
      </c>
      <c r="Q17" s="563">
        <f>IF(K17=0,0,IF((VLOOKUP(A17,[1]!TOX,67,FALSE))=0,0,IF((VLOOKUP(A17,[1]!TOX,67,FALSE))&lt;0.5,0.2,1)))</f>
        <v>1</v>
      </c>
      <c r="R17" s="614">
        <f>IF(K17=0,IF(M17=0,0,('[1]Target Risk'!$D$8*(VLOOKUP(A17,[1]!TOX,4,FALSE))*(VLOOKUP(A17,[1]!TOX,37,FALSE)))/('GW-1 Exp'!$V$13*'GW-1 Derm'!$M17)),('[1]Target Risk'!$D$8*(VLOOKUP(A17,[1]!TOX,4,FALSE))*(VLOOKUP(A17,[1]!TOX,37,FALSE)))/('GW-1 Exp'!$J$18*'GW-1 Derm'!$Q17))</f>
        <v>0.89531291208791219</v>
      </c>
      <c r="S17" s="757">
        <f>IF(OR(VLOOKUP(A17,[1]!TOX,12,FALSE)=0,VLOOKUP(A17,[1]!TOX,38,FALSE)=0),0,IF(K17=0,('[1]Target Risk'!$D$12*(VLOOKUP(A17,[1]!TOX,38,FALSE)))/('GW-1 Exp'!$V$21*'GW-1 Derm'!N17*(VLOOKUP(A17,[1]!TOX,12,FALSE))),IF(Q17=0,0,('[1]Target Risk'!$D$12*(VLOOKUP(A17,[1]!TOX,38,FALSE)))/('GW-1 Exp'!$J$26*'GW-1 Derm'!Q17*(VLOOKUP(A17,[1]!TOX,12,FALSE))))))</f>
        <v>5.0841242809851986E-2</v>
      </c>
      <c r="T17" s="575">
        <f>IF(OR(VLOOKUP(A17,[1]!TOX,12,FALSE)=0,VLOOKUP(A17,[1]!TOX,38,FALSE)=0),0,IF(NOT(VLOOKUP(A17,[1]!TOX,36,FALSE)="M"), IF(K17=0,('[1]Target Risk'!$D$12*(VLOOKUP(A17,[1]!TOX,38,FALSE)))/('GW-1 Exp'!$V$21*'GW-1 Derm'!N17*(VLOOKUP(A17,[1]!TOX,12,FALSE))),IF(Q17=0,0,('[1]Target Risk'!$D$12*(VLOOKUP(A17,[1]!TOX,38,FALSE)))/('GW-1 Exp'!$J$26*'GW-1 Derm'!Q17*(VLOOKUP(A17,[1]!TOX,12,FALSE))))), IF(K17=0,('[1]Target Risk'!$D$12*(VLOOKUP(A17,[1]!TOX,38,FALSE)))/(('GW-1 Exp'!$V$26*'GW-1 Derm'!AB17*(VLOOKUP(A17,[1]!TOX,12,FALSE))*10)+('GW-1 Exp'!$V$27*'GW-1 Derm'!AC17*(VLOOKUP(A17,[1]!TOX,12,FALSE))*3)+('GW-1 Exp'!$V$28*'GW-1 Derm'!AD17*(VLOOKUP(A17,[1]!TOX,12,FALSE))*3)+('GW-1 Exp'!$V$29*'GW-1 Derm'!AE17*(VLOOKUP(A17,[1]!TOX,12,FALSE))*1)),IF(Q17=0,0,(('[1]Target Risk'!$D$12*(VLOOKUP(A17,[1]!TOX,38,FALSE)))/(('GW-1 Exp'!$J$33*'GW-1 Derm'!Q17*(VLOOKUP(A17,[1]!TOX,12,FALSE))*10)+('GW-1 Exp'!$J$34*'GW-1 Derm'!Q17*(VLOOKUP(A17,[1]!TOX,12,FALSE))*3)+('GW-1 Exp'!$J$35*'GW-1 Derm'!Q17*(VLOOKUP(A17,[1]!TOX,12,FALSE))*3)+('GW-1 Exp'!$J$36*'GW-1 Derm'!Q17*(VLOOKUP(A17,[1]!TOX,12,FALSE))*1)))))))</f>
        <v>1.4050197834167968E-2</v>
      </c>
      <c r="AB17" s="838">
        <f>L17*IF('GW-1 Exp'!U$26&lt;=$E17,2*(VLOOKUP(A17,[1]!TOX,67,FALSE))*1*0.000001*SQRT(6*$C17*'GW-1 Exp'!$U$26/PI()),(VLOOKUP(A17,[1]!TOX,67,FALSE))*1*0.000001*('GW-1 Exp'!$U$26/(1+$B17)+2*$C17*(1+3*$B17+3*$B17^2)/(1+$B17)^2))</f>
        <v>2.2349112468664401E-6</v>
      </c>
      <c r="AC17" s="837">
        <f>L17*IF('GW-1 Exp'!U$27&lt;=$E17,2*(VLOOKUP(A17,[1]!TOX,67,FALSE))*1*0.000001*SQRT(6*$C17*'GW-1 Exp'!$U$27/PI()),(VLOOKUP(A17,[1]!TOX,67,FALSE))*1*0.000001*('GW-1 Exp'!$U$27/(1+$B17)+2*$C17*(1+3*$B17+3*$B17^2)/(1+$B17)^2))</f>
        <v>2.4250788631673262E-6</v>
      </c>
      <c r="AD17" s="837">
        <f>L17*IF('GW-1 Exp'!U$28&lt;=$E17,2*(VLOOKUP(A17,[1]!TOX,67,FALSE))*1*0.000001*SQRT(6*$C17*'GW-1 Exp'!$U$28/PI()),(VLOOKUP(A17,[1]!TOX,67,FALSE))*1*0.000001*('GW-1 Exp'!$U$28/(1+$B17)+2*$C17*(1+3*$B17+3*$B17^2)/(1+$B17)^2))</f>
        <v>2.5545061096757285E-6</v>
      </c>
      <c r="AE17" s="839">
        <f>L17*IF('GW-1 Exp'!U$29&lt;=$E17,2*(VLOOKUP(A17,[1]!TOX,67,FALSE))*1*0.000001*SQRT(6*$C17*'GW-1 Exp'!$U$29/PI()),(VLOOKUP(A17,[1]!TOX,67,FALSE))*1*0.000001*('GW-1 Exp'!$U$29/(1+$B17)+2*$C17*(1+3*$B17+3*$B17^2)/(1+$B17)^2))</f>
        <v>2.9671953099659911E-6</v>
      </c>
    </row>
    <row r="18" spans="1:31" x14ac:dyDescent="0.25">
      <c r="A18" s="540" t="s">
        <v>170</v>
      </c>
      <c r="B18" s="587">
        <f>(VLOOKUP(A18,[1]!TOX,67,FALSE))*(SQRT((VLOOKUP(A18,[1]!TOX,57,FALSE)))/2.6)</f>
        <v>2.4509075091411594</v>
      </c>
      <c r="C18" s="596">
        <f>('GW-1 Exp'!$O$29^2)/(6*D18)</f>
        <v>2.7104958683556819</v>
      </c>
      <c r="D18" s="486">
        <f>10^(-2.8-(0.0056*(VLOOKUP(A18,[1]!TOX,57,FALSE))))*'GW-1 Exp'!$O$29</f>
        <v>6.1489363851262668E-8</v>
      </c>
      <c r="E18" s="597">
        <f t="shared" si="0"/>
        <v>11.25729308738107</v>
      </c>
      <c r="F18" s="597">
        <f>IF(B18&lt;=0.6,0,(G18-SQRT(G18^2-H18^2))*('GW-1 Exp'!$O$29^2/D18))</f>
        <v>11.25729308738107</v>
      </c>
      <c r="G18" s="582">
        <f t="shared" si="1"/>
        <v>5.0338533006938251</v>
      </c>
      <c r="H18" s="598">
        <f t="shared" si="2"/>
        <v>2.5475004582278453</v>
      </c>
      <c r="I18" s="606">
        <f>IF('GW-1 Exp'!$U$13&lt;=$E18,2*(VLOOKUP(A18,[1]!TOX,67,FALSE))*1*0.000001*SQRT(6*$C18*'GW-1 Exp'!$U$13/PI()),(VLOOKUP(A18,[1]!TOX,67,FALSE))*1*0.000001*('GW-1 Exp'!$U$13/(1+$B18)+2*$C18*(1+3*$B18+3*$B18^2)/(1+$B18)^2))</f>
        <v>1.406468751764569E-6</v>
      </c>
      <c r="J18" s="607">
        <f>IF('GW-1 Exp'!$U$21&lt;=$E18,2*(VLOOKUP(A18,[1]!TOX,67,FALSE))*1*0.000001*SQRT(6*$C18*'GW-1 Exp'!$U$21/PI()),(VLOOKUP(A18,[1]!TOX,67,FALSE))*1*0.000001*('GW-1 Exp'!$U$21/(1+$B18)+2*$C18*(1+3*$B18+3*$B18^2)/(1+$B18)^2))</f>
        <v>1.5982452248669822E-6</v>
      </c>
      <c r="K18" s="482" t="s">
        <v>91</v>
      </c>
      <c r="L18" s="554">
        <v>1</v>
      </c>
      <c r="M18" s="481">
        <f t="shared" si="3"/>
        <v>1.406468751764569E-6</v>
      </c>
      <c r="N18" s="483">
        <f t="shared" si="4"/>
        <v>1.5982452248669822E-6</v>
      </c>
      <c r="O18" s="486" t="str">
        <f>IF(VLOOKUP(A18,[1]!TOX,81,FALSE)="Y","Inorganic",IF(K18="*","Streamlined",IF($E18=0,"Reduced Steady State",IF('GW-1 Exp'!$U$13&lt;=$E18,"Non-Steady State","Steady State"))))</f>
        <v>Streamlined</v>
      </c>
      <c r="P18" s="485" t="str">
        <f>IF(VLOOKUP(A18,[1]!TOX,81,FALSE)="Y","Inorganic",IF(K18="*","Streamlined",IF($E18=0,0,IF('GW-1 Exp'!$U$21&lt;=$E18,"Non-Steady State","Steady State"))))</f>
        <v>Streamlined</v>
      </c>
      <c r="Q18" s="563">
        <f>IF(K18=0,0,IF((VLOOKUP(A18,[1]!TOX,67,FALSE))=0,0,IF((VLOOKUP(A18,[1]!TOX,67,FALSE))&lt;0.5,0.2,1)))</f>
        <v>0.2</v>
      </c>
      <c r="R18" s="614">
        <f>IF(K18=0,IF(M18=0,0,('[1]Target Risk'!$D$8*(VLOOKUP(A18,[1]!TOX,4,FALSE))*(VLOOKUP(A18,[1]!TOX,37,FALSE)))/('GW-1 Exp'!$V$13*'GW-1 Derm'!$M18)),('[1]Target Risk'!$D$8*(VLOOKUP(A18,[1]!TOX,4,FALSE))*(VLOOKUP(A18,[1]!TOX,37,FALSE)))/('GW-1 Exp'!$J$18*'GW-1 Derm'!$Q18))</f>
        <v>447.6564560439561</v>
      </c>
      <c r="S18" s="757">
        <f>IF(OR(VLOOKUP(A18,[1]!TOX,12,FALSE)=0,VLOOKUP(A18,[1]!TOX,38,FALSE)=0),0,IF(K18=0,('[1]Target Risk'!$D$12*(VLOOKUP(A18,[1]!TOX,38,FALSE)))/('GW-1 Exp'!$V$21*'GW-1 Derm'!N18*(VLOOKUP(A18,[1]!TOX,12,FALSE))),IF(Q18=0,0,('[1]Target Risk'!$D$12*(VLOOKUP(A18,[1]!TOX,38,FALSE)))/('GW-1 Exp'!$J$26*'GW-1 Derm'!Q18*(VLOOKUP(A18,[1]!TOX,12,FALSE))))))</f>
        <v>2.5420621404925985</v>
      </c>
      <c r="T18" s="575">
        <f>IF(OR(VLOOKUP(A18,[1]!TOX,12,FALSE)=0,VLOOKUP(A18,[1]!TOX,38,FALSE)=0),0,IF(NOT(VLOOKUP(A18,[1]!TOX,36,FALSE)="M"), IF(K18=0,('[1]Target Risk'!$D$12*(VLOOKUP(A18,[1]!TOX,38,FALSE)))/('GW-1 Exp'!$V$21*'GW-1 Derm'!N18*(VLOOKUP(A18,[1]!TOX,12,FALSE))),IF(Q18=0,0,('[1]Target Risk'!$D$12*(VLOOKUP(A18,[1]!TOX,38,FALSE)))/('GW-1 Exp'!$J$26*'GW-1 Derm'!Q18*(VLOOKUP(A18,[1]!TOX,12,FALSE))))), IF(K18=0,('[1]Target Risk'!$D$12*(VLOOKUP(A18,[1]!TOX,38,FALSE)))/(('GW-1 Exp'!$V$26*'GW-1 Derm'!AB18*(VLOOKUP(A18,[1]!TOX,12,FALSE))*10)+('GW-1 Exp'!$V$27*'GW-1 Derm'!AC18*(VLOOKUP(A18,[1]!TOX,12,FALSE))*3)+('GW-1 Exp'!$V$28*'GW-1 Derm'!AD18*(VLOOKUP(A18,[1]!TOX,12,FALSE))*3)+('GW-1 Exp'!$V$29*'GW-1 Derm'!AE18*(VLOOKUP(A18,[1]!TOX,12,FALSE))*1)),IF(Q18=0,0,(('[1]Target Risk'!$D$12*(VLOOKUP(A18,[1]!TOX,38,FALSE)))/(('GW-1 Exp'!$J$33*'GW-1 Derm'!Q18*(VLOOKUP(A18,[1]!TOX,12,FALSE))*10)+('GW-1 Exp'!$J$34*'GW-1 Derm'!Q18*(VLOOKUP(A18,[1]!TOX,12,FALSE))*3)+('GW-1 Exp'!$J$35*'GW-1 Derm'!Q18*(VLOOKUP(A18,[1]!TOX,12,FALSE))*3)+('GW-1 Exp'!$J$36*'GW-1 Derm'!Q18*(VLOOKUP(A18,[1]!TOX,12,FALSE))*1)))))))</f>
        <v>0.70250989170839828</v>
      </c>
      <c r="AB18" s="838">
        <f>L18*IF('GW-1 Exp'!U$26&lt;=$E18,2*(VLOOKUP(A18,[1]!TOX,67,FALSE))*1*0.000001*SQRT(6*$C18*'GW-1 Exp'!$U$26/PI()),(VLOOKUP(A18,[1]!TOX,67,FALSE))*1*0.000001*('GW-1 Exp'!$U$26/(1+$B18)+2*$C18*(1+3*$B18+3*$B18^2)/(1+$B18)^2))</f>
        <v>1.3129865613830823E-6</v>
      </c>
      <c r="AC18" s="837">
        <f>L18*IF('GW-1 Exp'!U$27&lt;=$E18,2*(VLOOKUP(A18,[1]!TOX,67,FALSE))*1*0.000001*SQRT(6*$C18*'GW-1 Exp'!$U$27/PI()),(VLOOKUP(A18,[1]!TOX,67,FALSE))*1*0.000001*('GW-1 Exp'!$U$27/(1+$B18)+2*$C18*(1+3*$B18+3*$B18^2)/(1+$B18)^2))</f>
        <v>1.4247080111558211E-6</v>
      </c>
      <c r="AD18" s="837">
        <f>L18*IF('GW-1 Exp'!U$28&lt;=$E18,2*(VLOOKUP(A18,[1]!TOX,67,FALSE))*1*0.000001*SQRT(6*$C18*'GW-1 Exp'!$U$28/PI()),(VLOOKUP(A18,[1]!TOX,67,FALSE))*1*0.000001*('GW-1 Exp'!$U$28/(1+$B18)+2*$C18*(1+3*$B18+3*$B18^2)/(1+$B18)^2))</f>
        <v>1.500745140406754E-6</v>
      </c>
      <c r="AE18" s="839">
        <f>L18*IF('GW-1 Exp'!U$29&lt;=$E18,2*(VLOOKUP(A18,[1]!TOX,67,FALSE))*1*0.000001*SQRT(6*$C18*'GW-1 Exp'!$U$29/PI()),(VLOOKUP(A18,[1]!TOX,67,FALSE))*1*0.000001*('GW-1 Exp'!$U$29/(1+$B18)+2*$C18*(1+3*$B18+3*$B18^2)/(1+$B18)^2))</f>
        <v>1.7431956514813122E-6</v>
      </c>
    </row>
    <row r="19" spans="1:31" x14ac:dyDescent="0.25">
      <c r="A19" s="540" t="s">
        <v>171</v>
      </c>
      <c r="B19" s="587">
        <f>(VLOOKUP(A19,[1]!TOX,67,FALSE))*(SQRT((VLOOKUP(A19,[1]!TOX,57,FALSE)))/2.6)</f>
        <v>6.8498520783503229</v>
      </c>
      <c r="C19" s="596">
        <f>('GW-1 Exp'!$O$29^2)/(6*D19)</f>
        <v>3.6935905432662053</v>
      </c>
      <c r="D19" s="486">
        <f>10^(-2.8-(0.0056*(VLOOKUP(A19,[1]!TOX,57,FALSE))))*'GW-1 Exp'!$O$29</f>
        <v>4.5123211334433672E-8</v>
      </c>
      <c r="E19" s="597">
        <f t="shared" si="0"/>
        <v>16.467538900499896</v>
      </c>
      <c r="F19" s="597">
        <f>IF(B19&lt;=0.6,0,(G19-SQRT(G19^2-H19^2))*('GW-1 Exp'!$O$29^2/D19))</f>
        <v>16.467538900499896</v>
      </c>
      <c r="G19" s="582">
        <f t="shared" si="1"/>
        <v>32.336307746528412</v>
      </c>
      <c r="H19" s="598">
        <f t="shared" si="2"/>
        <v>6.8923157235255816</v>
      </c>
      <c r="I19" s="606">
        <f>IF('GW-1 Exp'!$U$13&lt;=$E19,2*(VLOOKUP(A19,[1]!TOX,67,FALSE))*1*0.000001*SQRT(6*$C19*'GW-1 Exp'!$U$13/PI()),(VLOOKUP(A19,[1]!TOX,67,FALSE))*1*0.000001*('GW-1 Exp'!$U$13/(1+$B19)+2*$C19*(1+3*$B19+3*$B19^2)/(1+$B19)^2))</f>
        <v>4.3846010918040284E-6</v>
      </c>
      <c r="J19" s="607">
        <f>IF('GW-1 Exp'!$U$21&lt;=$E19,2*(VLOOKUP(A19,[1]!TOX,67,FALSE))*1*0.000001*SQRT(6*$C19*'GW-1 Exp'!$U$21/PI()),(VLOOKUP(A19,[1]!TOX,67,FALSE))*1*0.000001*('GW-1 Exp'!$U$21/(1+$B19)+2*$C19*(1+3*$B19+3*$B19^2)/(1+$B19)^2))</f>
        <v>4.9824553507715396E-6</v>
      </c>
      <c r="K19" s="482" t="s">
        <v>91</v>
      </c>
      <c r="L19" s="554">
        <v>1</v>
      </c>
      <c r="M19" s="481">
        <f t="shared" si="3"/>
        <v>4.3846010918040284E-6</v>
      </c>
      <c r="N19" s="483">
        <f t="shared" si="4"/>
        <v>4.9824553507715396E-6</v>
      </c>
      <c r="O19" s="486" t="str">
        <f>IF(VLOOKUP(A19,[1]!TOX,81,FALSE)="Y","Inorganic",IF(K19="*","Streamlined",IF($E19=0,"Reduced Steady State",IF('GW-1 Exp'!$U$13&lt;=$E19,"Non-Steady State","Steady State"))))</f>
        <v>Streamlined</v>
      </c>
      <c r="P19" s="485" t="str">
        <f>IF(VLOOKUP(A19,[1]!TOX,81,FALSE)="Y","Inorganic",IF(K19="*","Streamlined",IF($E19=0,0,IF('GW-1 Exp'!$U$21&lt;=$E19,"Non-Steady State","Steady State"))))</f>
        <v>Streamlined</v>
      </c>
      <c r="Q19" s="563">
        <f>IF(K19=0,0,IF((VLOOKUP(A19,[1]!TOX,67,FALSE))=0,0,IF((VLOOKUP(A19,[1]!TOX,67,FALSE))&lt;0.5,0.2,1)))</f>
        <v>1</v>
      </c>
      <c r="R19" s="614">
        <f>IF(K19=0,IF(M19=0,0,('[1]Target Risk'!$D$8*(VLOOKUP(A19,[1]!TOX,4,FALSE))*(VLOOKUP(A19,[1]!TOX,37,FALSE)))/('GW-1 Exp'!$V$13*'GW-1 Derm'!$M19)),('[1]Target Risk'!$D$8*(VLOOKUP(A19,[1]!TOX,4,FALSE))*(VLOOKUP(A19,[1]!TOX,37,FALSE)))/('GW-1 Exp'!$J$18*'GW-1 Derm'!$Q19))</f>
        <v>89.531291208791231</v>
      </c>
      <c r="S19" s="574">
        <f>IF(OR(VLOOKUP(A19,[1]!TOX,12,FALSE)=0,VLOOKUP(A19,[1]!TOX,38,FALSE)=0),0,IF(K19=0,('[1]Target Risk'!$D$12*(VLOOKUP(A19,[1]!TOX,38,FALSE)))/('GW-1 Exp'!$V$21*'GW-1 Derm'!N19*(VLOOKUP(A19,[1]!TOX,12,FALSE))),IF(Q19=0,0,('[1]Target Risk'!$D$12*(VLOOKUP(A19,[1]!TOX,38,FALSE)))/('GW-1 Exp'!$J$26*'GW-1 Derm'!Q19*(VLOOKUP(A19,[1]!TOX,12,FALSE))))))</f>
        <v>0</v>
      </c>
      <c r="T19" s="575">
        <f>IF(OR(VLOOKUP(A19,[1]!TOX,12,FALSE)=0,VLOOKUP(A19,[1]!TOX,38,FALSE)=0),0,IF(NOT(VLOOKUP(A19,[1]!TOX,36,FALSE)="M"), IF(K19=0,('[1]Target Risk'!$D$12*(VLOOKUP(A19,[1]!TOX,38,FALSE)))/('GW-1 Exp'!$V$21*'GW-1 Derm'!N19*(VLOOKUP(A19,[1]!TOX,12,FALSE))),IF(Q19=0,0,('[1]Target Risk'!$D$12*(VLOOKUP(A19,[1]!TOX,38,FALSE)))/('GW-1 Exp'!$J$26*'GW-1 Derm'!Q19*(VLOOKUP(A19,[1]!TOX,12,FALSE))))), IF(K19=0,('[1]Target Risk'!$D$12*(VLOOKUP(A19,[1]!TOX,38,FALSE)))/(('GW-1 Exp'!$V$26*'GW-1 Derm'!AB19*(VLOOKUP(A19,[1]!TOX,12,FALSE))*10)+('GW-1 Exp'!$V$27*'GW-1 Derm'!AC19*(VLOOKUP(A19,[1]!TOX,12,FALSE))*3)+('GW-1 Exp'!$V$28*'GW-1 Derm'!AD19*(VLOOKUP(A19,[1]!TOX,12,FALSE))*3)+('GW-1 Exp'!$V$29*'GW-1 Derm'!AE19*(VLOOKUP(A19,[1]!TOX,12,FALSE))*1)),IF(Q19=0,0,(('[1]Target Risk'!$D$12*(VLOOKUP(A19,[1]!TOX,38,FALSE)))/(('GW-1 Exp'!$J$33*'GW-1 Derm'!Q19*(VLOOKUP(A19,[1]!TOX,12,FALSE))*10)+('GW-1 Exp'!$J$34*'GW-1 Derm'!Q19*(VLOOKUP(A19,[1]!TOX,12,FALSE))*3)+('GW-1 Exp'!$J$35*'GW-1 Derm'!Q19*(VLOOKUP(A19,[1]!TOX,12,FALSE))*3)+('GW-1 Exp'!$J$36*'GW-1 Derm'!Q19*(VLOOKUP(A19,[1]!TOX,12,FALSE))*1)))))))</f>
        <v>0</v>
      </c>
      <c r="AB19" s="838">
        <f>L19*IF('GW-1 Exp'!U$26&lt;=$E19,2*(VLOOKUP(A19,[1]!TOX,67,FALSE))*1*0.000001*SQRT(6*$C19*'GW-1 Exp'!$U$26/PI()),(VLOOKUP(A19,[1]!TOX,67,FALSE))*1*0.000001*('GW-1 Exp'!$U$26/(1+$B19)+2*$C19*(1+3*$B19+3*$B19^2)/(1+$B19)^2))</f>
        <v>4.0931746996451865E-6</v>
      </c>
      <c r="AC19" s="837">
        <f>L19*IF('GW-1 Exp'!U$27&lt;=$E19,2*(VLOOKUP(A19,[1]!TOX,67,FALSE))*1*0.000001*SQRT(6*$C19*'GW-1 Exp'!$U$27/PI()),(VLOOKUP(A19,[1]!TOX,67,FALSE))*1*0.000001*('GW-1 Exp'!$U$27/(1+$B19)+2*$C19*(1+3*$B19+3*$B19^2)/(1+$B19)^2))</f>
        <v>4.441461136892302E-6</v>
      </c>
      <c r="AD19" s="837">
        <f>L19*IF('GW-1 Exp'!U$28&lt;=$E19,2*(VLOOKUP(A19,[1]!TOX,67,FALSE))*1*0.000001*SQRT(6*$C19*'GW-1 Exp'!$U$28/PI()),(VLOOKUP(A19,[1]!TOX,67,FALSE))*1*0.000001*('GW-1 Exp'!$U$28/(1+$B19)+2*$C19*(1+3*$B19+3*$B19^2)/(1+$B19)^2))</f>
        <v>4.6785033602001476E-6</v>
      </c>
      <c r="AE19" s="839">
        <f>L19*IF('GW-1 Exp'!U$29&lt;=$E19,2*(VLOOKUP(A19,[1]!TOX,67,FALSE))*1*0.000001*SQRT(6*$C19*'GW-1 Exp'!$U$29/PI()),(VLOOKUP(A19,[1]!TOX,67,FALSE))*1*0.000001*('GW-1 Exp'!$U$29/(1+$B19)+2*$C19*(1+3*$B19+3*$B19^2)/(1+$B19)^2))</f>
        <v>5.4343315819308052E-6</v>
      </c>
    </row>
    <row r="20" spans="1:31" x14ac:dyDescent="0.25">
      <c r="A20" s="540" t="s">
        <v>172</v>
      </c>
      <c r="B20" s="587">
        <f>(VLOOKUP(A20,[1]!TOX,67,FALSE))*(SQRT((VLOOKUP(A20,[1]!TOX,57,FALSE)))/2.6)</f>
        <v>4.0469414614822332</v>
      </c>
      <c r="C20" s="596">
        <f>('GW-1 Exp'!$O$29^2)/(6*D20)</f>
        <v>2.7104958683556819</v>
      </c>
      <c r="D20" s="486">
        <f>10^(-2.8-(0.0056*(VLOOKUP(A20,[1]!TOX,57,FALSE))))*'GW-1 Exp'!$O$29</f>
        <v>6.1489363851262668E-8</v>
      </c>
      <c r="E20" s="597">
        <f t="shared" si="0"/>
        <v>11.714424369979895</v>
      </c>
      <c r="F20" s="597">
        <f>IF(B20&lt;=0.6,0,(G20-SQRT(G20^2-H20^2))*('GW-1 Exp'!$O$29^2/D20))</f>
        <v>11.714424369979895</v>
      </c>
      <c r="G20" s="582">
        <f t="shared" si="1"/>
        <v>12.102747663259905</v>
      </c>
      <c r="H20" s="598">
        <f t="shared" si="2"/>
        <v>4.1129880633454219</v>
      </c>
      <c r="I20" s="606">
        <f>IF('GW-1 Exp'!$U$13&lt;=$E20,2*(VLOOKUP(A20,[1]!TOX,67,FALSE))*1*0.000001*SQRT(6*$C20*'GW-1 Exp'!$U$13/PI()),(VLOOKUP(A20,[1]!TOX,67,FALSE))*1*0.000001*('GW-1 Exp'!$U$13/(1+$B20)+2*$C20*(1+3*$B20+3*$B20^2)/(1+$B20)^2))</f>
        <v>2.3223629143760457E-6</v>
      </c>
      <c r="J20" s="607">
        <f>IF('GW-1 Exp'!$U$21&lt;=$E20,2*(VLOOKUP(A20,[1]!TOX,67,FALSE))*1*0.000001*SQRT(6*$C20*'GW-1 Exp'!$U$21/PI()),(VLOOKUP(A20,[1]!TOX,67,FALSE))*1*0.000001*('GW-1 Exp'!$U$21/(1+$B20)+2*$C20*(1+3*$B20+3*$B20^2)/(1+$B20)^2))</f>
        <v>2.6390244601260727E-6</v>
      </c>
      <c r="K20" s="482" t="s">
        <v>91</v>
      </c>
      <c r="L20" s="554">
        <v>1</v>
      </c>
      <c r="M20" s="481">
        <f t="shared" si="3"/>
        <v>2.3223629143760457E-6</v>
      </c>
      <c r="N20" s="483">
        <f t="shared" si="4"/>
        <v>2.6390244601260727E-6</v>
      </c>
      <c r="O20" s="486" t="str">
        <f>IF(VLOOKUP(A20,[1]!TOX,81,FALSE)="Y","Inorganic",IF(K20="*","Streamlined",IF($E20=0,"Reduced Steady State",IF('GW-1 Exp'!$U$13&lt;=$E20,"Non-Steady State","Steady State"))))</f>
        <v>Streamlined</v>
      </c>
      <c r="P20" s="485" t="str">
        <f>IF(VLOOKUP(A20,[1]!TOX,81,FALSE)="Y","Inorganic",IF(K20="*","Streamlined",IF($E20=0,0,IF('GW-1 Exp'!$U$21&lt;=$E20,"Non-Steady State","Steady State"))))</f>
        <v>Streamlined</v>
      </c>
      <c r="Q20" s="563">
        <f>IF(K20=0,0,IF((VLOOKUP(A20,[1]!TOX,67,FALSE))=0,0,IF((VLOOKUP(A20,[1]!TOX,67,FALSE))&lt;0.5,0.2,1)))</f>
        <v>1</v>
      </c>
      <c r="R20" s="614">
        <f>IF(K20=0,IF(M20=0,0,('[1]Target Risk'!$D$8*(VLOOKUP(A20,[1]!TOX,4,FALSE))*(VLOOKUP(A20,[1]!TOX,37,FALSE)))/('GW-1 Exp'!$V$13*'GW-1 Derm'!$M20)),('[1]Target Risk'!$D$8*(VLOOKUP(A20,[1]!TOX,4,FALSE))*(VLOOKUP(A20,[1]!TOX,37,FALSE)))/('GW-1 Exp'!$J$18*'GW-1 Derm'!$Q20))</f>
        <v>89.531291208791231</v>
      </c>
      <c r="S20" s="757">
        <f>IF(OR(VLOOKUP(A20,[1]!TOX,12,FALSE)=0,VLOOKUP(A20,[1]!TOX,38,FALSE)=0),0,IF(K20=0,('[1]Target Risk'!$D$12*(VLOOKUP(A20,[1]!TOX,38,FALSE)))/('GW-1 Exp'!$V$21*'GW-1 Derm'!N20*(VLOOKUP(A20,[1]!TOX,12,FALSE))),IF(Q20=0,0,('[1]Target Risk'!$D$12*(VLOOKUP(A20,[1]!TOX,38,FALSE)))/('GW-1 Exp'!$J$26*'GW-1 Derm'!Q20*(VLOOKUP(A20,[1]!TOX,12,FALSE))))))</f>
        <v>5.0841242809851979</v>
      </c>
      <c r="T20" s="575">
        <f>IF(OR(VLOOKUP(A20,[1]!TOX,12,FALSE)=0,VLOOKUP(A20,[1]!TOX,38,FALSE)=0),0,IF(NOT(VLOOKUP(A20,[1]!TOX,36,FALSE)="M"), IF(K20=0,('[1]Target Risk'!$D$12*(VLOOKUP(A20,[1]!TOX,38,FALSE)))/('GW-1 Exp'!$V$21*'GW-1 Derm'!N20*(VLOOKUP(A20,[1]!TOX,12,FALSE))),IF(Q20=0,0,('[1]Target Risk'!$D$12*(VLOOKUP(A20,[1]!TOX,38,FALSE)))/('GW-1 Exp'!$J$26*'GW-1 Derm'!Q20*(VLOOKUP(A20,[1]!TOX,12,FALSE))))), IF(K20=0,('[1]Target Risk'!$D$12*(VLOOKUP(A20,[1]!TOX,38,FALSE)))/(('GW-1 Exp'!$V$26*'GW-1 Derm'!AB20*(VLOOKUP(A20,[1]!TOX,12,FALSE))*10)+('GW-1 Exp'!$V$27*'GW-1 Derm'!AC20*(VLOOKUP(A20,[1]!TOX,12,FALSE))*3)+('GW-1 Exp'!$V$28*'GW-1 Derm'!AD20*(VLOOKUP(A20,[1]!TOX,12,FALSE))*3)+('GW-1 Exp'!$V$29*'GW-1 Derm'!AE20*(VLOOKUP(A20,[1]!TOX,12,FALSE))*1)),IF(Q20=0,0,(('[1]Target Risk'!$D$12*(VLOOKUP(A20,[1]!TOX,38,FALSE)))/(('GW-1 Exp'!$J$33*'GW-1 Derm'!Q20*(VLOOKUP(A20,[1]!TOX,12,FALSE))*10)+('GW-1 Exp'!$J$34*'GW-1 Derm'!Q20*(VLOOKUP(A20,[1]!TOX,12,FALSE))*3)+('GW-1 Exp'!$J$35*'GW-1 Derm'!Q20*(VLOOKUP(A20,[1]!TOX,12,FALSE))*3)+('GW-1 Exp'!$J$36*'GW-1 Derm'!Q20*(VLOOKUP(A20,[1]!TOX,12,FALSE))*1)))))))</f>
        <v>1.4050197834167966</v>
      </c>
      <c r="AB20" s="838">
        <f>L20*IF('GW-1 Exp'!U$26&lt;=$E20,2*(VLOOKUP(A20,[1]!TOX,67,FALSE))*1*0.000001*SQRT(6*$C20*'GW-1 Exp'!$U$26/PI()),(VLOOKUP(A20,[1]!TOX,67,FALSE))*1*0.000001*('GW-1 Exp'!$U$26/(1+$B20)+2*$C20*(1+3*$B20+3*$B20^2)/(1+$B20)^2))</f>
        <v>2.1680050078642721E-6</v>
      </c>
      <c r="AC20" s="837">
        <f>L20*IF('GW-1 Exp'!U$27&lt;=$E20,2*(VLOOKUP(A20,[1]!TOX,67,FALSE))*1*0.000001*SQRT(6*$C20*'GW-1 Exp'!$U$27/PI()),(VLOOKUP(A20,[1]!TOX,67,FALSE))*1*0.000001*('GW-1 Exp'!$U$27/(1+$B20)+2*$C20*(1+3*$B20+3*$B20^2)/(1+$B20)^2))</f>
        <v>2.3524796016773353E-6</v>
      </c>
      <c r="AD20" s="837">
        <f>L20*IF('GW-1 Exp'!U$28&lt;=$E20,2*(VLOOKUP(A20,[1]!TOX,67,FALSE))*1*0.000001*SQRT(6*$C20*'GW-1 Exp'!$U$28/PI()),(VLOOKUP(A20,[1]!TOX,67,FALSE))*1*0.000001*('GW-1 Exp'!$U$28/(1+$B20)+2*$C20*(1+3*$B20+3*$B20^2)/(1+$B20)^2))</f>
        <v>2.4780322020223049E-6</v>
      </c>
      <c r="AE20" s="839">
        <f>L20*IF('GW-1 Exp'!U$29&lt;=$E20,2*(VLOOKUP(A20,[1]!TOX,67,FALSE))*1*0.000001*SQRT(6*$C20*'GW-1 Exp'!$U$29/PI()),(VLOOKUP(A20,[1]!TOX,67,FALSE))*1*0.000001*('GW-1 Exp'!$U$29/(1+$B20)+2*$C20*(1+3*$B20+3*$B20^2)/(1+$B20)^2))</f>
        <v>2.8783667809346725E-6</v>
      </c>
    </row>
    <row r="21" spans="1:31" x14ac:dyDescent="0.25">
      <c r="A21" s="541" t="s">
        <v>173</v>
      </c>
      <c r="B21" s="587">
        <f>(VLOOKUP(A21,[1]!TOX,67,FALSE))*(SQRT((VLOOKUP(A21,[1]!TOX,57,FALSE)))/2.6)</f>
        <v>1.1538461538461537E-3</v>
      </c>
      <c r="C21" s="596">
        <f>('GW-1 Exp'!$O$29^2)/(6*D21)</f>
        <v>0.11809968781946148</v>
      </c>
      <c r="D21" s="486">
        <f>10^(-2.8-(0.0056*(VLOOKUP(A21,[1]!TOX,57,FALSE))))*'GW-1 Exp'!$O$29</f>
        <v>1.4112371484118514E-6</v>
      </c>
      <c r="E21" s="597">
        <f t="shared" si="0"/>
        <v>0.28343925076670756</v>
      </c>
      <c r="F21" s="597">
        <f>IF(B21&lt;=0.6,0,(G21-SQRT(G21^2-H21^2))*('GW-1 Exp'!$O$29^2/D21))</f>
        <v>0</v>
      </c>
      <c r="G21" s="582">
        <f t="shared" si="1"/>
        <v>0.30398673511182706</v>
      </c>
      <c r="H21" s="598">
        <f t="shared" si="2"/>
        <v>0.33410300737807463</v>
      </c>
      <c r="I21" s="854">
        <f>(VLOOKUP(A21,[1]!TOX,67,FALSE))*1*0.000001*'GW-1 Exp'!$U$13</f>
        <v>5.9285714285714288E-10</v>
      </c>
      <c r="J21" s="855">
        <f>(VLOOKUP(A21,[1]!TOX,67,FALSE))*1*0.000001*'GW-1 Exp'!$U$21</f>
        <v>7.6555555555555563E-10</v>
      </c>
      <c r="K21" s="482"/>
      <c r="L21" s="554">
        <v>1</v>
      </c>
      <c r="M21" s="481">
        <f t="shared" si="3"/>
        <v>5.9285714285714288E-10</v>
      </c>
      <c r="N21" s="483">
        <f t="shared" si="4"/>
        <v>7.6555555555555563E-10</v>
      </c>
      <c r="O21" s="486" t="str">
        <f>IF(VLOOKUP(A21,[1]!TOX,81,FALSE)="Y","Inorganic",IF(K21="*","Streamlined",IF($E21=0,"Reduced Steady State",IF('GW-1 Exp'!$U$13&lt;=$E21,"Non-Steady State","Steady State"))))</f>
        <v>Inorganic</v>
      </c>
      <c r="P21" s="485" t="str">
        <f>IF(VLOOKUP(A21,[1]!TOX,81,FALSE)="Y","Inorganic",IF(K21="*","Streamlined",IF($E21=0,0,IF('GW-1 Exp'!$U$21&lt;=$E21,"Non-Steady State","Steady State"))))</f>
        <v>Inorganic</v>
      </c>
      <c r="Q21" s="563">
        <f>IF(K21=0,0,IF((VLOOKUP(A21,[1]!TOX,67,FALSE))=0,0,IF((VLOOKUP(A21,[1]!TOX,67,FALSE))&lt;0.5,0.2,1)))</f>
        <v>0</v>
      </c>
      <c r="R21" s="614">
        <f>IF(K21=0,IF(M21=0,0,('[1]Target Risk'!$D$8*(VLOOKUP(A21,[1]!TOX,4,FALSE))*(VLOOKUP(A21,[1]!TOX,37,FALSE)))/('GW-1 Exp'!$V$13*'GW-1 Derm'!$M21)),('[1]Target Risk'!$D$8*(VLOOKUP(A21,[1]!TOX,4,FALSE))*(VLOOKUP(A21,[1]!TOX,37,FALSE)))/('GW-1 Exp'!$J$18*'GW-1 Derm'!$Q21))</f>
        <v>16.61262453852645</v>
      </c>
      <c r="S21" s="574">
        <f>IF(OR(VLOOKUP(A21,[1]!TOX,12,FALSE)=0,VLOOKUP(A21,[1]!TOX,38,FALSE)=0),0,IF(K21=0,('[1]Target Risk'!$D$12*(VLOOKUP(A21,[1]!TOX,38,FALSE)))/('GW-1 Exp'!$V$21*'GW-1 Derm'!N21*(VLOOKUP(A21,[1]!TOX,12,FALSE))),IF(Q21=0,0,('[1]Target Risk'!$D$12*(VLOOKUP(A21,[1]!TOX,38,FALSE)))/('GW-1 Exp'!$J$26*'GW-1 Derm'!Q21*(VLOOKUP(A21,[1]!TOX,12,FALSE))))))</f>
        <v>0</v>
      </c>
      <c r="T21" s="575">
        <f>IF(OR(VLOOKUP(A21,[1]!TOX,12,FALSE)=0,VLOOKUP(A21,[1]!TOX,38,FALSE)=0),0,IF(NOT(VLOOKUP(A21,[1]!TOX,36,FALSE)="M"), IF(K21=0,('[1]Target Risk'!$D$12*(VLOOKUP(A21,[1]!TOX,38,FALSE)))/('GW-1 Exp'!$V$21*'GW-1 Derm'!N21*(VLOOKUP(A21,[1]!TOX,12,FALSE))),IF(Q21=0,0,('[1]Target Risk'!$D$12*(VLOOKUP(A21,[1]!TOX,38,FALSE)))/('GW-1 Exp'!$J$26*'GW-1 Derm'!Q21*(VLOOKUP(A21,[1]!TOX,12,FALSE))))), IF(K21=0,('[1]Target Risk'!$D$12*(VLOOKUP(A21,[1]!TOX,38,FALSE)))/(('GW-1 Exp'!$V$26*'GW-1 Derm'!AB21*(VLOOKUP(A21,[1]!TOX,12,FALSE))*10)+('GW-1 Exp'!$V$27*'GW-1 Derm'!AC21*(VLOOKUP(A21,[1]!TOX,12,FALSE))*3)+('GW-1 Exp'!$V$28*'GW-1 Derm'!AD21*(VLOOKUP(A21,[1]!TOX,12,FALSE))*3)+('GW-1 Exp'!$V$29*'GW-1 Derm'!AE21*(VLOOKUP(A21,[1]!TOX,12,FALSE))*1)),IF(Q21=0,0,(('[1]Target Risk'!$D$12*(VLOOKUP(A21,[1]!TOX,38,FALSE)))/(('GW-1 Exp'!$J$33*'GW-1 Derm'!Q21*(VLOOKUP(A21,[1]!TOX,12,FALSE))*10)+('GW-1 Exp'!$J$34*'GW-1 Derm'!Q21*(VLOOKUP(A21,[1]!TOX,12,FALSE))*3)+('GW-1 Exp'!$J$35*'GW-1 Derm'!Q21*(VLOOKUP(A21,[1]!TOX,12,FALSE))*3)+('GW-1 Exp'!$J$36*'GW-1 Derm'!Q21*(VLOOKUP(A21,[1]!TOX,12,FALSE))*1)))))))</f>
        <v>0</v>
      </c>
      <c r="AB21" s="838">
        <f>L21*IF('GW-1 Exp'!U$26&lt;=$E21,2*(VLOOKUP(A21,[1]!TOX,67,FALSE))*1*0.000001*SQRT(6*$C21*'GW-1 Exp'!$U$26/PI()),(VLOOKUP(A21,[1]!TOX,67,FALSE))*1*0.000001*('GW-1 Exp'!$U$26/(1+$B21)+2*$C21*(1+3*$B21+3*$B21^2)/(1+$B21)^2))</f>
        <v>7.5254311291558891E-10</v>
      </c>
      <c r="AC21" s="837">
        <f>L21*IF('GW-1 Exp'!U$27&lt;=$E21,2*(VLOOKUP(A21,[1]!TOX,67,FALSE))*1*0.000001*SQRT(6*$C21*'GW-1 Exp'!$U$27/PI()),(VLOOKUP(A21,[1]!TOX,67,FALSE))*1*0.000001*('GW-1 Exp'!$U$27/(1+$B21)+2*$C21*(1+3*$B21+3*$B21^2)/(1+$B21)^2))</f>
        <v>8.4410413225225162E-10</v>
      </c>
      <c r="AD21" s="837">
        <f>L21*IF('GW-1 Exp'!U$28&lt;=$E21,2*(VLOOKUP(A21,[1]!TOX,67,FALSE))*1*0.000001*SQRT(6*$C21*'GW-1 Exp'!$U$28/PI()),(VLOOKUP(A21,[1]!TOX,67,FALSE))*1*0.000001*('GW-1 Exp'!$U$28/(1+$B21)+2*$C21*(1+3*$B21+3*$B21^2)/(1+$B21)^2))</f>
        <v>9.1069396449709742E-10</v>
      </c>
      <c r="AE21" s="839">
        <f>L21*IF('GW-1 Exp'!U$29&lt;=$E21,2*(VLOOKUP(A21,[1]!TOX,67,FALSE))*1*0.000001*SQRT(6*$C21*'GW-1 Exp'!$U$29/PI()),(VLOOKUP(A21,[1]!TOX,67,FALSE))*1*0.000001*('GW-1 Exp'!$U$29/(1+$B21)+2*$C21*(1+3*$B21+3*$B21^2)/(1+$B21)^2))</f>
        <v>1.1461365856485159E-9</v>
      </c>
    </row>
    <row r="22" spans="1:31" x14ac:dyDescent="0.25">
      <c r="A22" s="540" t="s">
        <v>174</v>
      </c>
      <c r="B22" s="587">
        <f>(VLOOKUP(A22,[1]!TOX,67,FALSE))*(SQRT((VLOOKUP(A22,[1]!TOX,57,FALSE)))/2.6)</f>
        <v>0.43973092812152859</v>
      </c>
      <c r="C22" s="596">
        <f>('GW-1 Exp'!$O$29^2)/(6*D22)</f>
        <v>0.76603524111000232</v>
      </c>
      <c r="D22" s="486">
        <f>10^(-2.8-(0.0056*(VLOOKUP(A22,[1]!TOX,57,FALSE))))*'GW-1 Exp'!$O$29</f>
        <v>2.1757049509257941E-7</v>
      </c>
      <c r="E22" s="597">
        <f t="shared" si="0"/>
        <v>1.8384845786640054</v>
      </c>
      <c r="F22" s="597">
        <f>IF(B22&lt;=0.6,0,(G22-SQRT(G22^2-H22^2))*('GW-1 Exp'!$O$29^2/D22))</f>
        <v>0</v>
      </c>
      <c r="G22" s="582">
        <f t="shared" si="1"/>
        <v>0.64834580094779948</v>
      </c>
      <c r="H22" s="598">
        <f t="shared" si="2"/>
        <v>0.67125567126797614</v>
      </c>
      <c r="I22" s="606">
        <f>IF('GW-1 Exp'!$U$13&lt;=$E22,2*(VLOOKUP(A22,[1]!TOX,67,FALSE))*1*0.000001*SQRT(6*$C22*'GW-1 Exp'!$U$13/PI()),(VLOOKUP(A22,[1]!TOX,67,FALSE))*1*0.000001*('GW-1 Exp'!$U$13/(1+$B22)+2*$C22*(1+3*$B22+3*$B22^2)/(1+$B22)^2))</f>
        <v>1.7160505929769143E-7</v>
      </c>
      <c r="J22" s="607">
        <f>IF('GW-1 Exp'!$U$21&lt;=$E22,2*(VLOOKUP(A22,[1]!TOX,67,FALSE))*1*0.000001*SQRT(6*$C22*'GW-1 Exp'!$U$21/PI()),(VLOOKUP(A22,[1]!TOX,67,FALSE))*1*0.000001*('GW-1 Exp'!$U$21/(1+$B22)+2*$C22*(1+3*$B22+3*$B22^2)/(1+$B22)^2))</f>
        <v>1.9500395315676418E-7</v>
      </c>
      <c r="K22" s="482"/>
      <c r="L22" s="554">
        <v>1</v>
      </c>
      <c r="M22" s="481">
        <f t="shared" si="3"/>
        <v>1.7160505929769143E-7</v>
      </c>
      <c r="N22" s="483">
        <f t="shared" si="4"/>
        <v>1.9500395315676418E-7</v>
      </c>
      <c r="O22" s="486" t="str">
        <f>IF(VLOOKUP(A22,[1]!TOX,81,FALSE)="Y","Inorganic",IF(K22="*","Streamlined",IF($E22=0,"Reduced Steady State",IF('GW-1 Exp'!$U$13&lt;=$E22,"Non-Steady State","Steady State"))))</f>
        <v>Non-Steady State</v>
      </c>
      <c r="P22" s="485" t="str">
        <f>IF(VLOOKUP(A22,[1]!TOX,81,FALSE)="Y","Inorganic",IF(K22="*","Streamlined",IF($E22=0,0,IF('GW-1 Exp'!$U$21&lt;=$E22,"Non-Steady State","Steady State"))))</f>
        <v>Non-Steady State</v>
      </c>
      <c r="Q22" s="563">
        <f>IF(K22=0,0,IF((VLOOKUP(A22,[1]!TOX,67,FALSE))=0,0,IF((VLOOKUP(A22,[1]!TOX,67,FALSE))&lt;0.5,0.2,1)))</f>
        <v>0</v>
      </c>
      <c r="R22" s="614">
        <f>IF(K22=0,IF(M22=0,0,('[1]Target Risk'!$D$8*(VLOOKUP(A22,[1]!TOX,4,FALSE))*(VLOOKUP(A22,[1]!TOX,37,FALSE)))/('GW-1 Exp'!$V$13*'GW-1 Derm'!$M22)),('[1]Target Risk'!$D$8*(VLOOKUP(A22,[1]!TOX,4,FALSE))*(VLOOKUP(A22,[1]!TOX,37,FALSE)))/('GW-1 Exp'!$J$18*'GW-1 Derm'!$Q22))</f>
        <v>143.48226619274493</v>
      </c>
      <c r="S22" s="574">
        <f>IF(OR(VLOOKUP(A22,[1]!TOX,12,FALSE)=0,VLOOKUP(A22,[1]!TOX,38,FALSE)=0),0,IF(K22=0,('[1]Target Risk'!$D$12*(VLOOKUP(A22,[1]!TOX,38,FALSE)))/('GW-1 Exp'!$V$21*'GW-1 Derm'!N22*(VLOOKUP(A22,[1]!TOX,12,FALSE))),IF(Q22=0,0,('[1]Target Risk'!$D$12*(VLOOKUP(A22,[1]!TOX,38,FALSE)))/('GW-1 Exp'!$J$26*'GW-1 Derm'!Q22*(VLOOKUP(A22,[1]!TOX,12,FALSE))))))</f>
        <v>4.3138870647891627</v>
      </c>
      <c r="T22" s="575">
        <f>IF(OR(VLOOKUP(A22,[1]!TOX,12,FALSE)=0,VLOOKUP(A22,[1]!TOX,38,FALSE)=0),0,IF(NOT(VLOOKUP(A22,[1]!TOX,36,FALSE)="M"), IF(K22=0,('[1]Target Risk'!$D$12*(VLOOKUP(A22,[1]!TOX,38,FALSE)))/('GW-1 Exp'!$V$21*'GW-1 Derm'!N22*(VLOOKUP(A22,[1]!TOX,12,FALSE))),IF(Q22=0,0,('[1]Target Risk'!$D$12*(VLOOKUP(A22,[1]!TOX,38,FALSE)))/('GW-1 Exp'!$J$26*'GW-1 Derm'!Q22*(VLOOKUP(A22,[1]!TOX,12,FALSE))))), IF(K22=0,('[1]Target Risk'!$D$12*(VLOOKUP(A22,[1]!TOX,38,FALSE)))/(('GW-1 Exp'!$V$26*'GW-1 Derm'!AB22*(VLOOKUP(A22,[1]!TOX,12,FALSE))*10)+('GW-1 Exp'!$V$27*'GW-1 Derm'!AC22*(VLOOKUP(A22,[1]!TOX,12,FALSE))*3)+('GW-1 Exp'!$V$28*'GW-1 Derm'!AD22*(VLOOKUP(A22,[1]!TOX,12,FALSE))*3)+('GW-1 Exp'!$V$29*'GW-1 Derm'!AE22*(VLOOKUP(A22,[1]!TOX,12,FALSE))*1)),IF(Q22=0,0,(('[1]Target Risk'!$D$12*(VLOOKUP(A22,[1]!TOX,38,FALSE)))/(('GW-1 Exp'!$J$33*'GW-1 Derm'!Q22*(VLOOKUP(A22,[1]!TOX,12,FALSE))*10)+('GW-1 Exp'!$J$34*'GW-1 Derm'!Q22*(VLOOKUP(A22,[1]!TOX,12,FALSE))*3)+('GW-1 Exp'!$J$35*'GW-1 Derm'!Q22*(VLOOKUP(A22,[1]!TOX,12,FALSE))*3)+('GW-1 Exp'!$J$36*'GW-1 Derm'!Q22*(VLOOKUP(A22,[1]!TOX,12,FALSE))*1)))))))</f>
        <v>4.3138870647891627</v>
      </c>
      <c r="AB22" s="838">
        <f>L22*IF('GW-1 Exp'!U$26&lt;=$E22,2*(VLOOKUP(A22,[1]!TOX,67,FALSE))*1*0.000001*SQRT(6*$C22*'GW-1 Exp'!$U$26/PI()),(VLOOKUP(A22,[1]!TOX,67,FALSE))*1*0.000001*('GW-1 Exp'!$U$26/(1+$B22)+2*$C22*(1+3*$B22+3*$B22^2)/(1+$B22)^2))</f>
        <v>1.6019917715237776E-7</v>
      </c>
      <c r="AC22" s="837">
        <f>L22*IF('GW-1 Exp'!U$27&lt;=$E22,2*(VLOOKUP(A22,[1]!TOX,67,FALSE))*1*0.000001*SQRT(6*$C22*'GW-1 Exp'!$U$27/PI()),(VLOOKUP(A22,[1]!TOX,67,FALSE))*1*0.000001*('GW-1 Exp'!$U$27/(1+$B22)+2*$C22*(1+3*$B22+3*$B22^2)/(1+$B22)^2))</f>
        <v>1.7383045476805284E-7</v>
      </c>
      <c r="AD22" s="837">
        <f>L22*IF('GW-1 Exp'!U$28&lt;=$E22,2*(VLOOKUP(A22,[1]!TOX,67,FALSE))*1*0.000001*SQRT(6*$C22*'GW-1 Exp'!$U$28/PI()),(VLOOKUP(A22,[1]!TOX,67,FALSE))*1*0.000001*('GW-1 Exp'!$U$28/(1+$B22)+2*$C22*(1+3*$B22+3*$B22^2)/(1+$B22)^2))</f>
        <v>1.8310784259310193E-7</v>
      </c>
      <c r="AE22" s="839">
        <f>L22*IF('GW-1 Exp'!U$29&lt;=$E22,2*(VLOOKUP(A22,[1]!TOX,67,FALSE))*1*0.000001*SQRT(6*$C22*'GW-1 Exp'!$U$29/PI()),(VLOOKUP(A22,[1]!TOX,67,FALSE))*1*0.000001*('GW-1 Exp'!$U$29/(1+$B22)+2*$C22*(1+3*$B22+3*$B22^2)/(1+$B22)^2))</f>
        <v>2.1268954092625452E-7</v>
      </c>
    </row>
    <row r="23" spans="1:31" x14ac:dyDescent="0.25">
      <c r="A23" s="540" t="s">
        <v>175</v>
      </c>
      <c r="B23" s="587">
        <f>(VLOOKUP(A23,[1]!TOX,67,FALSE))*(SQRT((VLOOKUP(A23,[1]!TOX,57,FALSE)))/2.6)</f>
        <v>8.1902030861956358E-3</v>
      </c>
      <c r="C23" s="596">
        <f>('GW-1 Exp'!$O$29^2)/(6*D23)</f>
        <v>0.6647353115150878</v>
      </c>
      <c r="D23" s="486">
        <f>10^(-2.8-(0.0056*(VLOOKUP(A23,[1]!TOX,57,FALSE))))*'GW-1 Exp'!$O$29</f>
        <v>2.5072636247771193E-7</v>
      </c>
      <c r="E23" s="597">
        <f t="shared" si="0"/>
        <v>1.5953647476362107</v>
      </c>
      <c r="F23" s="597">
        <f>IF(B23&lt;=0.6,0,(G23-SQRT(G23^2-H23^2))*('GW-1 Exp'!$O$29^2/D23))</f>
        <v>0</v>
      </c>
      <c r="G23" s="582">
        <f t="shared" si="1"/>
        <v>0.30827492001630796</v>
      </c>
      <c r="H23" s="598">
        <f t="shared" si="2"/>
        <v>0.33881564688931787</v>
      </c>
      <c r="I23" s="606">
        <f>IF('GW-1 Exp'!$U$13&lt;=$E23,2*(VLOOKUP(A23,[1]!TOX,67,FALSE))*1*0.000001*SQRT(6*$C23*'GW-1 Exp'!$U$13/PI()),(VLOOKUP(A23,[1]!TOX,67,FALSE))*1*0.000001*('GW-1 Exp'!$U$13/(1+$B23)+2*$C23*(1+3*$B23+3*$B23^2)/(1+$B23)^2))</f>
        <v>3.0897979995800818E-9</v>
      </c>
      <c r="J23" s="607">
        <f>IF('GW-1 Exp'!$U$21&lt;=$E23,2*(VLOOKUP(A23,[1]!TOX,67,FALSE))*1*0.000001*SQRT(6*$C23*'GW-1 Exp'!$U$21/PI()),(VLOOKUP(A23,[1]!TOX,67,FALSE))*1*0.000001*('GW-1 Exp'!$U$21/(1+$B23)+2*$C23*(1+3*$B23+3*$B23^2)/(1+$B23)^2))</f>
        <v>3.511101752126976E-9</v>
      </c>
      <c r="K23" s="482"/>
      <c r="L23" s="554">
        <v>1</v>
      </c>
      <c r="M23" s="481">
        <f t="shared" si="3"/>
        <v>3.0897979995800818E-9</v>
      </c>
      <c r="N23" s="483">
        <f t="shared" si="4"/>
        <v>3.511101752126976E-9</v>
      </c>
      <c r="O23" s="486" t="str">
        <f>IF(VLOOKUP(A23,[1]!TOX,81,FALSE)="Y","Inorganic",IF(K23="*","Streamlined",IF($E23=0,"Reduced Steady State",IF('GW-1 Exp'!$U$13&lt;=$E23,"Non-Steady State","Steady State"))))</f>
        <v>Non-Steady State</v>
      </c>
      <c r="P23" s="485" t="str">
        <f>IF(VLOOKUP(A23,[1]!TOX,81,FALSE)="Y","Inorganic",IF(K23="*","Streamlined",IF($E23=0,0,IF('GW-1 Exp'!$U$21&lt;=$E23,"Non-Steady State","Steady State"))))</f>
        <v>Non-Steady State</v>
      </c>
      <c r="Q23" s="563">
        <f>IF(K23=0,0,IF((VLOOKUP(A23,[1]!TOX,67,FALSE))=0,0,IF((VLOOKUP(A23,[1]!TOX,67,FALSE))&lt;0.5,0.2,1)))</f>
        <v>0</v>
      </c>
      <c r="R23" s="614">
        <f>IF(K23=0,IF(M23=0,0,('[1]Target Risk'!$D$8*(VLOOKUP(A23,[1]!TOX,4,FALSE))*(VLOOKUP(A23,[1]!TOX,37,FALSE)))/('GW-1 Exp'!$V$13*'GW-1 Derm'!$M23)),('[1]Target Risk'!$D$8*(VLOOKUP(A23,[1]!TOX,4,FALSE))*(VLOOKUP(A23,[1]!TOX,37,FALSE)))/('GW-1 Exp'!$J$18*'GW-1 Derm'!$Q23))</f>
        <v>0</v>
      </c>
      <c r="S23" s="574">
        <f>IF(OR(VLOOKUP(A23,[1]!TOX,12,FALSE)=0,VLOOKUP(A23,[1]!TOX,38,FALSE)=0),0,IF(K23=0,('[1]Target Risk'!$D$12*(VLOOKUP(A23,[1]!TOX,38,FALSE)))/('GW-1 Exp'!$V$21*'GW-1 Derm'!N23*(VLOOKUP(A23,[1]!TOX,12,FALSE))),IF(Q23=0,0,('[1]Target Risk'!$D$12*(VLOOKUP(A23,[1]!TOX,38,FALSE)))/('GW-1 Exp'!$J$26*'GW-1 Derm'!Q23*(VLOOKUP(A23,[1]!TOX,12,FALSE))))))</f>
        <v>1.8973595580130154</v>
      </c>
      <c r="T23" s="575">
        <f>IF(OR(VLOOKUP(A23,[1]!TOX,12,FALSE)=0,VLOOKUP(A23,[1]!TOX,38,FALSE)=0),0,IF(NOT(VLOOKUP(A23,[1]!TOX,36,FALSE)="M"), IF(K23=0,('[1]Target Risk'!$D$12*(VLOOKUP(A23,[1]!TOX,38,FALSE)))/('GW-1 Exp'!$V$21*'GW-1 Derm'!N23*(VLOOKUP(A23,[1]!TOX,12,FALSE))),IF(Q23=0,0,('[1]Target Risk'!$D$12*(VLOOKUP(A23,[1]!TOX,38,FALSE)))/('GW-1 Exp'!$J$26*'GW-1 Derm'!Q23*(VLOOKUP(A23,[1]!TOX,12,FALSE))))), IF(K23=0,('[1]Target Risk'!$D$12*(VLOOKUP(A23,[1]!TOX,38,FALSE)))/(('GW-1 Exp'!$V$26*'GW-1 Derm'!AB23*(VLOOKUP(A23,[1]!TOX,12,FALSE))*10)+('GW-1 Exp'!$V$27*'GW-1 Derm'!AC23*(VLOOKUP(A23,[1]!TOX,12,FALSE))*3)+('GW-1 Exp'!$V$28*'GW-1 Derm'!AD23*(VLOOKUP(A23,[1]!TOX,12,FALSE))*3)+('GW-1 Exp'!$V$29*'GW-1 Derm'!AE23*(VLOOKUP(A23,[1]!TOX,12,FALSE))*1)),IF(Q23=0,0,(('[1]Target Risk'!$D$12*(VLOOKUP(A23,[1]!TOX,38,FALSE)))/(('GW-1 Exp'!$J$33*'GW-1 Derm'!Q23*(VLOOKUP(A23,[1]!TOX,12,FALSE))*10)+('GW-1 Exp'!$J$34*'GW-1 Derm'!Q23*(VLOOKUP(A23,[1]!TOX,12,FALSE))*3)+('GW-1 Exp'!$J$35*'GW-1 Derm'!Q23*(VLOOKUP(A23,[1]!TOX,12,FALSE))*3)+('GW-1 Exp'!$J$36*'GW-1 Derm'!Q23*(VLOOKUP(A23,[1]!TOX,12,FALSE))*1)))))))</f>
        <v>1.8973595580130154</v>
      </c>
      <c r="AB23" s="838">
        <f>L23*IF('GW-1 Exp'!U$26&lt;=$E23,2*(VLOOKUP(A23,[1]!TOX,67,FALSE))*1*0.000001*SQRT(6*$C23*'GW-1 Exp'!$U$26/PI()),(VLOOKUP(A23,[1]!TOX,67,FALSE))*1*0.000001*('GW-1 Exp'!$U$26/(1+$B23)+2*$C23*(1+3*$B23+3*$B23^2)/(1+$B23)^2))</f>
        <v>2.8844318409116441E-9</v>
      </c>
      <c r="AC23" s="837">
        <f>L23*IF('GW-1 Exp'!U$27&lt;=$E23,2*(VLOOKUP(A23,[1]!TOX,67,FALSE))*1*0.000001*SQRT(6*$C23*'GW-1 Exp'!$U$27/PI()),(VLOOKUP(A23,[1]!TOX,67,FALSE))*1*0.000001*('GW-1 Exp'!$U$27/(1+$B23)+2*$C23*(1+3*$B23+3*$B23^2)/(1+$B23)^2))</f>
        <v>3.1298668792549475E-9</v>
      </c>
      <c r="AD23" s="837">
        <f>L23*IF('GW-1 Exp'!U$28&lt;=$E23,2*(VLOOKUP(A23,[1]!TOX,67,FALSE))*1*0.000001*SQRT(6*$C23*'GW-1 Exp'!$U$28/PI()),(VLOOKUP(A23,[1]!TOX,67,FALSE))*1*0.000001*('GW-1 Exp'!$U$28/(1+$B23)+2*$C23*(1+3*$B23+3*$B23^2)/(1+$B23)^2))</f>
        <v>3.296908891072549E-9</v>
      </c>
      <c r="AE23" s="839">
        <f>L23*IF('GW-1 Exp'!U$29&lt;=$E23,2*(VLOOKUP(A23,[1]!TOX,67,FALSE))*1*0.000001*SQRT(6*$C23*'GW-1 Exp'!$U$29/PI()),(VLOOKUP(A23,[1]!TOX,67,FALSE))*1*0.000001*('GW-1 Exp'!$U$29/(1+$B23)+2*$C23*(1+3*$B23+3*$B23^2)/(1+$B23)^2))</f>
        <v>3.8295358002559077E-9</v>
      </c>
    </row>
    <row r="24" spans="1:31" ht="23" x14ac:dyDescent="0.25">
      <c r="A24" s="540" t="s">
        <v>176</v>
      </c>
      <c r="B24" s="587">
        <f>(VLOOKUP(A24,[1]!TOX,67,FALSE))*(SQRT((VLOOKUP(A24,[1]!TOX,57,FALSE)))/2.6)</f>
        <v>2.137591467374321E-2</v>
      </c>
      <c r="C24" s="596">
        <f>('GW-1 Exp'!$O$29^2)/(6*D24)</f>
        <v>0.95378118203807316</v>
      </c>
      <c r="D24" s="486">
        <f>10^(-2.8-(0.0056*(VLOOKUP(A24,[1]!TOX,57,FALSE))))*'GW-1 Exp'!$O$29</f>
        <v>1.7474308552673211E-7</v>
      </c>
      <c r="E24" s="597">
        <f t="shared" si="0"/>
        <v>2.2890748368913756</v>
      </c>
      <c r="F24" s="597">
        <f>IF(B24&lt;=0.6,0,(G24-SQRT(G24^2-H24^2))*('GW-1 Exp'!$O$29^2/D24))</f>
        <v>0</v>
      </c>
      <c r="G24" s="582">
        <f t="shared" si="1"/>
        <v>0.31639425733460524</v>
      </c>
      <c r="H24" s="598">
        <f t="shared" si="2"/>
        <v>0.34773306539998639</v>
      </c>
      <c r="I24" s="606">
        <f>IF('GW-1 Exp'!$U$13&lt;=$E24,2*(VLOOKUP(A24,[1]!TOX,67,FALSE))*1*0.000001*SQRT(6*$C24*'GW-1 Exp'!$U$13/PI()),(VLOOKUP(A24,[1]!TOX,67,FALSE))*1*0.000001*('GW-1 Exp'!$U$13/(1+$B24)+2*$C24*(1+3*$B24+3*$B24^2)/(1+$B24)^2))</f>
        <v>8.8334445595547027E-9</v>
      </c>
      <c r="J24" s="607">
        <f>IF('GW-1 Exp'!$U$21&lt;=$E24,2*(VLOOKUP(A24,[1]!TOX,67,FALSE))*1*0.000001*SQRT(6*$C24*'GW-1 Exp'!$U$21/PI()),(VLOOKUP(A24,[1]!TOX,67,FALSE))*1*0.000001*('GW-1 Exp'!$U$21/(1+$B24)+2*$C24*(1+3*$B24+3*$B24^2)/(1+$B24)^2))</f>
        <v>1.0037912729111782E-8</v>
      </c>
      <c r="K24" s="482"/>
      <c r="L24" s="554">
        <v>1</v>
      </c>
      <c r="M24" s="481">
        <f t="shared" si="3"/>
        <v>8.8334445595547027E-9</v>
      </c>
      <c r="N24" s="483">
        <f t="shared" si="4"/>
        <v>1.0037912729111782E-8</v>
      </c>
      <c r="O24" s="486" t="str">
        <f>IF(VLOOKUP(A24,[1]!TOX,81,FALSE)="Y","Inorganic",IF(K24="*","Streamlined",IF($E24=0,"Reduced Steady State",IF('GW-1 Exp'!$U$13&lt;=$E24,"Non-Steady State","Steady State"))))</f>
        <v>Non-Steady State</v>
      </c>
      <c r="P24" s="485" t="str">
        <f>IF(VLOOKUP(A24,[1]!TOX,81,FALSE)="Y","Inorganic",IF(K24="*","Streamlined",IF($E24=0,0,IF('GW-1 Exp'!$U$21&lt;=$E24,"Non-Steady State","Steady State"))))</f>
        <v>Non-Steady State</v>
      </c>
      <c r="Q24" s="563">
        <f>IF(K24=0,0,IF((VLOOKUP(A24,[1]!TOX,67,FALSE))=0,0,IF((VLOOKUP(A24,[1]!TOX,67,FALSE))&lt;0.5,0.2,1)))</f>
        <v>0</v>
      </c>
      <c r="R24" s="614">
        <f>IF(K24=0,IF(M24=0,0,('[1]Target Risk'!$D$8*(VLOOKUP(A24,[1]!TOX,4,FALSE))*(VLOOKUP(A24,[1]!TOX,37,FALSE)))/('GW-1 Exp'!$V$13*'GW-1 Derm'!$M24)),('[1]Target Risk'!$D$8*(VLOOKUP(A24,[1]!TOX,4,FALSE))*(VLOOKUP(A24,[1]!TOX,37,FALSE)))/('GW-1 Exp'!$J$18*'GW-1 Derm'!$Q24))</f>
        <v>2185.3162244492369</v>
      </c>
      <c r="S24" s="574">
        <f>IF(OR(VLOOKUP(A24,[1]!TOX,12,FALSE)=0,VLOOKUP(A24,[1]!TOX,38,FALSE)=0),0,IF(K24=0,('[1]Target Risk'!$D$12*(VLOOKUP(A24,[1]!TOX,38,FALSE)))/('GW-1 Exp'!$V$21*'GW-1 Derm'!N24*(VLOOKUP(A24,[1]!TOX,12,FALSE))),IF(Q24=0,0,('[1]Target Risk'!$D$12*(VLOOKUP(A24,[1]!TOX,38,FALSE)))/('GW-1 Exp'!$J$26*'GW-1 Derm'!Q24*(VLOOKUP(A24,[1]!TOX,12,FALSE))))))</f>
        <v>10.429038832456024</v>
      </c>
      <c r="T24" s="575">
        <f>IF(OR(VLOOKUP(A24,[1]!TOX,12,FALSE)=0,VLOOKUP(A24,[1]!TOX,38,FALSE)=0),0,IF(NOT(VLOOKUP(A24,[1]!TOX,36,FALSE)="M"), IF(K24=0,('[1]Target Risk'!$D$12*(VLOOKUP(A24,[1]!TOX,38,FALSE)))/('GW-1 Exp'!$V$21*'GW-1 Derm'!N24*(VLOOKUP(A24,[1]!TOX,12,FALSE))),IF(Q24=0,0,('[1]Target Risk'!$D$12*(VLOOKUP(A24,[1]!TOX,38,FALSE)))/('GW-1 Exp'!$J$26*'GW-1 Derm'!Q24*(VLOOKUP(A24,[1]!TOX,12,FALSE))))), IF(K24=0,('[1]Target Risk'!$D$12*(VLOOKUP(A24,[1]!TOX,38,FALSE)))/(('GW-1 Exp'!$V$26*'GW-1 Derm'!AB24*(VLOOKUP(A24,[1]!TOX,12,FALSE))*10)+('GW-1 Exp'!$V$27*'GW-1 Derm'!AC24*(VLOOKUP(A24,[1]!TOX,12,FALSE))*3)+('GW-1 Exp'!$V$28*'GW-1 Derm'!AD24*(VLOOKUP(A24,[1]!TOX,12,FALSE))*3)+('GW-1 Exp'!$V$29*'GW-1 Derm'!AE24*(VLOOKUP(A24,[1]!TOX,12,FALSE))*1)),IF(Q24=0,0,(('[1]Target Risk'!$D$12*(VLOOKUP(A24,[1]!TOX,38,FALSE)))/(('GW-1 Exp'!$J$33*'GW-1 Derm'!Q24*(VLOOKUP(A24,[1]!TOX,12,FALSE))*10)+('GW-1 Exp'!$J$34*'GW-1 Derm'!Q24*(VLOOKUP(A24,[1]!TOX,12,FALSE))*3)+('GW-1 Exp'!$J$35*'GW-1 Derm'!Q24*(VLOOKUP(A24,[1]!TOX,12,FALSE))*3)+('GW-1 Exp'!$J$36*'GW-1 Derm'!Q24*(VLOOKUP(A24,[1]!TOX,12,FALSE))*1)))))))</f>
        <v>10.429038832456024</v>
      </c>
      <c r="AB24" s="838">
        <f>L24*IF('GW-1 Exp'!U$26&lt;=$E24,2*(VLOOKUP(A24,[1]!TOX,67,FALSE))*1*0.000001*SQRT(6*$C24*'GW-1 Exp'!$U$26/PI()),(VLOOKUP(A24,[1]!TOX,67,FALSE))*1*0.000001*('GW-1 Exp'!$U$26/(1+$B24)+2*$C24*(1+3*$B24+3*$B24^2)/(1+$B24)^2))</f>
        <v>8.2463218488619971E-9</v>
      </c>
      <c r="AC24" s="837">
        <f>L24*IF('GW-1 Exp'!U$27&lt;=$E24,2*(VLOOKUP(A24,[1]!TOX,67,FALSE))*1*0.000001*SQRT(6*$C24*'GW-1 Exp'!$U$27/PI()),(VLOOKUP(A24,[1]!TOX,67,FALSE))*1*0.000001*('GW-1 Exp'!$U$27/(1+$B24)+2*$C24*(1+3*$B24+3*$B24^2)/(1+$B24)^2))</f>
        <v>8.9479977527471034E-9</v>
      </c>
      <c r="AD24" s="837">
        <f>L24*IF('GW-1 Exp'!U$28&lt;=$E24,2*(VLOOKUP(A24,[1]!TOX,67,FALSE))*1*0.000001*SQRT(6*$C24*'GW-1 Exp'!$U$28/PI()),(VLOOKUP(A24,[1]!TOX,67,FALSE))*1*0.000001*('GW-1 Exp'!$U$28/(1+$B24)+2*$C24*(1+3*$B24+3*$B24^2)/(1+$B24)^2))</f>
        <v>9.4255552988092752E-9</v>
      </c>
      <c r="AE24" s="839">
        <f>L24*IF('GW-1 Exp'!U$29&lt;=$E24,2*(VLOOKUP(A24,[1]!TOX,67,FALSE))*1*0.000001*SQRT(6*$C24*'GW-1 Exp'!$U$29/PI()),(VLOOKUP(A24,[1]!TOX,67,FALSE))*1*0.000001*('GW-1 Exp'!$U$29/(1+$B24)+2*$C24*(1+3*$B24+3*$B24^2)/(1+$B24)^2))</f>
        <v>1.0948285999598644E-8</v>
      </c>
    </row>
    <row r="25" spans="1:31" ht="23" x14ac:dyDescent="0.25">
      <c r="A25" s="540" t="s">
        <v>177</v>
      </c>
      <c r="B25" s="587">
        <f>(VLOOKUP(A25,[1]!TOX,67,FALSE))*(SQRT((VLOOKUP(A25,[1]!TOX,57,FALSE)))/2.6)</f>
        <v>8.0819289980345967</v>
      </c>
      <c r="C25" s="596">
        <f>('GW-1 Exp'!$O$29^2)/(6*D25)</f>
        <v>16.272292776377363</v>
      </c>
      <c r="D25" s="486">
        <f>10^(-2.8-(0.0056*(VLOOKUP(A25,[1]!TOX,57,FALSE))))*'GW-1 Exp'!$O$29</f>
        <v>1.0242359141215686E-8</v>
      </c>
      <c r="E25" s="597">
        <f t="shared" si="0"/>
        <v>73.100778054148961</v>
      </c>
      <c r="F25" s="597">
        <f>IF(B25&lt;=0.6,0,(G25-SQRT(G25^2-H25^2))*('GW-1 Exp'!$O$29^2/D25))</f>
        <v>73.100778054148961</v>
      </c>
      <c r="G25" s="582">
        <f t="shared" si="1"/>
        <v>44.390680024527882</v>
      </c>
      <c r="H25" s="598">
        <f t="shared" si="2"/>
        <v>8.1186319202227644</v>
      </c>
      <c r="I25" s="606">
        <f>IF('GW-1 Exp'!$U$13&lt;=$E25,2*(VLOOKUP(A25,[1]!TOX,67,FALSE))*1*0.000001*SQRT(6*$C25*'GW-1 Exp'!$U$13/PI()),(VLOOKUP(A25,[1]!TOX,67,FALSE))*1*0.000001*('GW-1 Exp'!$U$13/(1+$B25)+2*$C25*(1+3*$B25+3*$B25^2)/(1+$B25)^2))</f>
        <v>9.1228406210410853E-6</v>
      </c>
      <c r="J25" s="607">
        <f>IF('GW-1 Exp'!$U$21&lt;=$E25,2*(VLOOKUP(A25,[1]!TOX,67,FALSE))*1*0.000001*SQRT(6*$C25*'GW-1 Exp'!$U$21/PI()),(VLOOKUP(A25,[1]!TOX,67,FALSE))*1*0.000001*('GW-1 Exp'!$U$21/(1+$B25)+2*$C25*(1+3*$B25+3*$B25^2)/(1+$B25)^2))</f>
        <v>1.0366768861027712E-5</v>
      </c>
      <c r="K25" s="482" t="s">
        <v>91</v>
      </c>
      <c r="L25" s="554">
        <v>0.8</v>
      </c>
      <c r="M25" s="481">
        <f t="shared" si="3"/>
        <v>7.2982724968328683E-6</v>
      </c>
      <c r="N25" s="483">
        <f t="shared" si="4"/>
        <v>8.2934150888221689E-6</v>
      </c>
      <c r="O25" s="486" t="str">
        <f>IF(VLOOKUP(A25,[1]!TOX,81,FALSE)="Y","Inorganic",IF(K25="*","Streamlined",IF($E25=0,"Reduced Steady State",IF('GW-1 Exp'!$U$13&lt;=$E25,"Non-Steady State","Steady State"))))</f>
        <v>Streamlined</v>
      </c>
      <c r="P25" s="485" t="str">
        <f>IF(VLOOKUP(A25,[1]!TOX,81,FALSE)="Y","Inorganic",IF(K25="*","Streamlined",IF($E25=0,0,IF('GW-1 Exp'!$U$21&lt;=$E25,"Non-Steady State","Steady State"))))</f>
        <v>Streamlined</v>
      </c>
      <c r="Q25" s="563">
        <f>IF(K25=0,0,IF((VLOOKUP(A25,[1]!TOX,67,FALSE))=0,0,IF((VLOOKUP(A25,[1]!TOX,67,FALSE))&lt;0.5,0.2,1)))</f>
        <v>1</v>
      </c>
      <c r="R25" s="614">
        <f>IF(K25=0,IF(M25=0,0,('[1]Target Risk'!$D$8*(VLOOKUP(A25,[1]!TOX,4,FALSE))*(VLOOKUP(A25,[1]!TOX,37,FALSE)))/('GW-1 Exp'!$V$13*'GW-1 Derm'!$M25)),('[1]Target Risk'!$D$8*(VLOOKUP(A25,[1]!TOX,4,FALSE))*(VLOOKUP(A25,[1]!TOX,37,FALSE)))/('GW-1 Exp'!$J$18*'GW-1 Derm'!$Q25))</f>
        <v>64.877747252747255</v>
      </c>
      <c r="S25" s="574">
        <f>IF(OR(VLOOKUP(A25,[1]!TOX,12,FALSE)=0,VLOOKUP(A25,[1]!TOX,38,FALSE)=0),0,IF(K25=0,('[1]Target Risk'!$D$12*(VLOOKUP(A25,[1]!TOX,38,FALSE)))/('GW-1 Exp'!$V$21*'GW-1 Derm'!N25*(VLOOKUP(A25,[1]!TOX,12,FALSE))),IF(Q25=0,0,('[1]Target Risk'!$D$12*(VLOOKUP(A25,[1]!TOX,38,FALSE)))/('GW-1 Exp'!$J$26*'GW-1 Derm'!Q25*(VLOOKUP(A25,[1]!TOX,12,FALSE))))))</f>
        <v>3.9473014603922345</v>
      </c>
      <c r="T25" s="575">
        <f>IF(OR(VLOOKUP(A25,[1]!TOX,12,FALSE)=0,VLOOKUP(A25,[1]!TOX,38,FALSE)=0),0,IF(NOT(VLOOKUP(A25,[1]!TOX,36,FALSE)="M"), IF(K25=0,('[1]Target Risk'!$D$12*(VLOOKUP(A25,[1]!TOX,38,FALSE)))/('GW-1 Exp'!$V$21*'GW-1 Derm'!N25*(VLOOKUP(A25,[1]!TOX,12,FALSE))),IF(Q25=0,0,('[1]Target Risk'!$D$12*(VLOOKUP(A25,[1]!TOX,38,FALSE)))/('GW-1 Exp'!$J$26*'GW-1 Derm'!Q25*(VLOOKUP(A25,[1]!TOX,12,FALSE))))), IF(K25=0,('[1]Target Risk'!$D$12*(VLOOKUP(A25,[1]!TOX,38,FALSE)))/(('GW-1 Exp'!$V$26*'GW-1 Derm'!AB25*(VLOOKUP(A25,[1]!TOX,12,FALSE))*10)+('GW-1 Exp'!$V$27*'GW-1 Derm'!AC25*(VLOOKUP(A25,[1]!TOX,12,FALSE))*3)+('GW-1 Exp'!$V$28*'GW-1 Derm'!AD25*(VLOOKUP(A25,[1]!TOX,12,FALSE))*3)+('GW-1 Exp'!$V$29*'GW-1 Derm'!AE25*(VLOOKUP(A25,[1]!TOX,12,FALSE))*1)),IF(Q25=0,0,(('[1]Target Risk'!$D$12*(VLOOKUP(A25,[1]!TOX,38,FALSE)))/(('GW-1 Exp'!$J$33*'GW-1 Derm'!Q25*(VLOOKUP(A25,[1]!TOX,12,FALSE))*10)+('GW-1 Exp'!$J$34*'GW-1 Derm'!Q25*(VLOOKUP(A25,[1]!TOX,12,FALSE))*3)+('GW-1 Exp'!$J$35*'GW-1 Derm'!Q25*(VLOOKUP(A25,[1]!TOX,12,FALSE))*3)+('GW-1 Exp'!$J$36*'GW-1 Derm'!Q25*(VLOOKUP(A25,[1]!TOX,12,FALSE))*1)))))))</f>
        <v>3.9473014603922345</v>
      </c>
      <c r="AB25" s="838">
        <f>L25*IF('GW-1 Exp'!U$26&lt;=$E25,2*(VLOOKUP(A25,[1]!TOX,67,FALSE))*1*0.000001*SQRT(6*$C25*'GW-1 Exp'!$U$26/PI()),(VLOOKUP(A25,[1]!TOX,67,FALSE))*1*0.000001*('GW-1 Exp'!$U$26/(1+$B25)+2*$C25*(1+3*$B25+3*$B25^2)/(1+$B25)^2))</f>
        <v>6.8131863559933164E-6</v>
      </c>
      <c r="AC25" s="837">
        <f>L25*IF('GW-1 Exp'!U$27&lt;=$E25,2*(VLOOKUP(A25,[1]!TOX,67,FALSE))*1*0.000001*SQRT(6*$C25*'GW-1 Exp'!$U$27/PI()),(VLOOKUP(A25,[1]!TOX,67,FALSE))*1*0.000001*('GW-1 Exp'!$U$27/(1+$B25)+2*$C25*(1+3*$B25+3*$B25^2)/(1+$B25)^2))</f>
        <v>7.3929173903015418E-6</v>
      </c>
      <c r="AD25" s="837">
        <f>L25*IF('GW-1 Exp'!U$28&lt;=$E25,2*(VLOOKUP(A25,[1]!TOX,67,FALSE))*1*0.000001*SQRT(6*$C25*'GW-1 Exp'!$U$28/PI()),(VLOOKUP(A25,[1]!TOX,67,FALSE))*1*0.000001*('GW-1 Exp'!$U$28/(1+$B25)+2*$C25*(1+3*$B25+3*$B25^2)/(1+$B25)^2))</f>
        <v>7.7874797923840472E-6</v>
      </c>
      <c r="AE25" s="839">
        <f>L25*IF('GW-1 Exp'!U$29&lt;=$E25,2*(VLOOKUP(A25,[1]!TOX,67,FALSE))*1*0.000001*SQRT(6*$C25*'GW-1 Exp'!$U$29/PI()),(VLOOKUP(A25,[1]!TOX,67,FALSE))*1*0.000001*('GW-1 Exp'!$U$29/(1+$B25)+2*$C25*(1+3*$B25+3*$B25^2)/(1+$B25)^2))</f>
        <v>9.0455737916986613E-6</v>
      </c>
    </row>
    <row r="26" spans="1:31" x14ac:dyDescent="0.25">
      <c r="A26" s="540" t="s">
        <v>178</v>
      </c>
      <c r="B26" s="587">
        <f>(VLOOKUP(A26,[1]!TOX,67,FALSE))*(SQRT((VLOOKUP(A26,[1]!TOX,57,FALSE)))/2.6)</f>
        <v>1.9681064110737171E-2</v>
      </c>
      <c r="C26" s="596">
        <f>('GW-1 Exp'!$O$29^2)/(6*D26)</f>
        <v>0.87146259218906952</v>
      </c>
      <c r="D26" s="486">
        <f>10^(-2.8-(0.0056*(VLOOKUP(A26,[1]!TOX,57,FALSE))))*'GW-1 Exp'!$O$29</f>
        <v>1.9124936418442069E-7</v>
      </c>
      <c r="E26" s="597">
        <f t="shared" si="0"/>
        <v>2.0915102212537668</v>
      </c>
      <c r="F26" s="597">
        <f>IF(B26&lt;=0.6,0,(G26-SQRT(G26^2-H26^2))*('GW-1 Exp'!$O$29^2/D26))</f>
        <v>0</v>
      </c>
      <c r="G26" s="582">
        <f t="shared" si="1"/>
        <v>0.31534440707340705</v>
      </c>
      <c r="H26" s="598">
        <f t="shared" si="2"/>
        <v>0.34658066543267896</v>
      </c>
      <c r="I26" s="606">
        <f>IF('GW-1 Exp'!$U$13&lt;=$E26,2*(VLOOKUP(A26,[1]!TOX,67,FALSE))*1*0.000001*SQRT(6*$C26*'GW-1 Exp'!$U$13/PI()),(VLOOKUP(A26,[1]!TOX,67,FALSE))*1*0.000001*('GW-1 Exp'!$U$13/(1+$B26)+2*$C26*(1+3*$B26+3*$B26^2)/(1+$B26)^2))</f>
        <v>7.9383471618653437E-9</v>
      </c>
      <c r="J26" s="607">
        <f>IF('GW-1 Exp'!$U$21&lt;=$E26,2*(VLOOKUP(A26,[1]!TOX,67,FALSE))*1*0.000001*SQRT(6*$C26*'GW-1 Exp'!$U$21/PI()),(VLOOKUP(A26,[1]!TOX,67,FALSE))*1*0.000001*('GW-1 Exp'!$U$21/(1+$B26)+2*$C26*(1+3*$B26+3*$B26^2)/(1+$B26)^2))</f>
        <v>9.0207659636020232E-9</v>
      </c>
      <c r="K26" s="482"/>
      <c r="L26" s="554">
        <v>1</v>
      </c>
      <c r="M26" s="481">
        <f t="shared" si="3"/>
        <v>7.9383471618653437E-9</v>
      </c>
      <c r="N26" s="483">
        <f t="shared" si="4"/>
        <v>9.0207659636020232E-9</v>
      </c>
      <c r="O26" s="486" t="str">
        <f>IF(VLOOKUP(A26,[1]!TOX,81,FALSE)="Y","Inorganic",IF(K26="*","Streamlined",IF($E26=0,"Reduced Steady State",IF('GW-1 Exp'!$U$13&lt;=$E26,"Non-Steady State","Steady State"))))</f>
        <v>Non-Steady State</v>
      </c>
      <c r="P26" s="485" t="str">
        <f>IF(VLOOKUP(A26,[1]!TOX,81,FALSE)="Y","Inorganic",IF(K26="*","Streamlined",IF($E26=0,0,IF('GW-1 Exp'!$U$21&lt;=$E26,"Non-Steady State","Steady State"))))</f>
        <v>Non-Steady State</v>
      </c>
      <c r="Q26" s="563">
        <f>IF(K26=0,0,IF((VLOOKUP(A26,[1]!TOX,67,FALSE))=0,0,IF((VLOOKUP(A26,[1]!TOX,67,FALSE))&lt;0.5,0.2,1)))</f>
        <v>0</v>
      </c>
      <c r="R26" s="614">
        <f>IF(K26=0,IF(M26=0,0,('[1]Target Risk'!$D$8*(VLOOKUP(A26,[1]!TOX,4,FALSE))*(VLOOKUP(A26,[1]!TOX,37,FALSE)))/('GW-1 Exp'!$V$13*'GW-1 Derm'!$M26)),('[1]Target Risk'!$D$8*(VLOOKUP(A26,[1]!TOX,4,FALSE))*(VLOOKUP(A26,[1]!TOX,37,FALSE)))/('GW-1 Exp'!$J$18*'GW-1 Derm'!$Q26))</f>
        <v>182.37930377844302</v>
      </c>
      <c r="S26" s="574">
        <f>IF(OR(VLOOKUP(A26,[1]!TOX,12,FALSE)=0,VLOOKUP(A26,[1]!TOX,38,FALSE)=0),0,IF(K26=0,('[1]Target Risk'!$D$12*(VLOOKUP(A26,[1]!TOX,38,FALSE)))/('GW-1 Exp'!$V$21*'GW-1 Derm'!N26*(VLOOKUP(A26,[1]!TOX,12,FALSE))),IF(Q26=0,0,('[1]Target Risk'!$D$12*(VLOOKUP(A26,[1]!TOX,38,FALSE)))/('GW-1 Exp'!$J$26*'GW-1 Derm'!Q26*(VLOOKUP(A26,[1]!TOX,12,FALSE))))))</f>
        <v>13.102393401956569</v>
      </c>
      <c r="T26" s="575">
        <f>IF(OR(VLOOKUP(A26,[1]!TOX,12,FALSE)=0,VLOOKUP(A26,[1]!TOX,38,FALSE)=0),0,IF(NOT(VLOOKUP(A26,[1]!TOX,36,FALSE)="M"), IF(K26=0,('[1]Target Risk'!$D$12*(VLOOKUP(A26,[1]!TOX,38,FALSE)))/('GW-1 Exp'!$V$21*'GW-1 Derm'!N26*(VLOOKUP(A26,[1]!TOX,12,FALSE))),IF(Q26=0,0,('[1]Target Risk'!$D$12*(VLOOKUP(A26,[1]!TOX,38,FALSE)))/('GW-1 Exp'!$J$26*'GW-1 Derm'!Q26*(VLOOKUP(A26,[1]!TOX,12,FALSE))))), IF(K26=0,('[1]Target Risk'!$D$12*(VLOOKUP(A26,[1]!TOX,38,FALSE)))/(('GW-1 Exp'!$V$26*'GW-1 Derm'!AB26*(VLOOKUP(A26,[1]!TOX,12,FALSE))*10)+('GW-1 Exp'!$V$27*'GW-1 Derm'!AC26*(VLOOKUP(A26,[1]!TOX,12,FALSE))*3)+('GW-1 Exp'!$V$28*'GW-1 Derm'!AD26*(VLOOKUP(A26,[1]!TOX,12,FALSE))*3)+('GW-1 Exp'!$V$29*'GW-1 Derm'!AE26*(VLOOKUP(A26,[1]!TOX,12,FALSE))*1)),IF(Q26=0,0,(('[1]Target Risk'!$D$12*(VLOOKUP(A26,[1]!TOX,38,FALSE)))/(('GW-1 Exp'!$J$33*'GW-1 Derm'!Q26*(VLOOKUP(A26,[1]!TOX,12,FALSE))*10)+('GW-1 Exp'!$J$34*'GW-1 Derm'!Q26*(VLOOKUP(A26,[1]!TOX,12,FALSE))*3)+('GW-1 Exp'!$J$35*'GW-1 Derm'!Q26*(VLOOKUP(A26,[1]!TOX,12,FALSE))*3)+('GW-1 Exp'!$J$36*'GW-1 Derm'!Q26*(VLOOKUP(A26,[1]!TOX,12,FALSE))*1)))))))</f>
        <v>13.102393401956569</v>
      </c>
      <c r="AB26" s="838">
        <f>L26*IF('GW-1 Exp'!U$26&lt;=$E26,2*(VLOOKUP(A26,[1]!TOX,67,FALSE))*1*0.000001*SQRT(6*$C26*'GW-1 Exp'!$U$26/PI()),(VLOOKUP(A26,[1]!TOX,67,FALSE))*1*0.000001*('GW-1 Exp'!$U$26/(1+$B26)+2*$C26*(1+3*$B26+3*$B26^2)/(1+$B26)^2))</f>
        <v>7.410717891916195E-9</v>
      </c>
      <c r="AC26" s="837">
        <f>L26*IF('GW-1 Exp'!U$27&lt;=$E26,2*(VLOOKUP(A26,[1]!TOX,67,FALSE))*1*0.000001*SQRT(6*$C26*'GW-1 Exp'!$U$27/PI()),(VLOOKUP(A26,[1]!TOX,67,FALSE))*1*0.000001*('GW-1 Exp'!$U$27/(1+$B26)+2*$C26*(1+3*$B26+3*$B26^2)/(1+$B26)^2))</f>
        <v>8.0412926221476414E-9</v>
      </c>
      <c r="AD26" s="837">
        <f>L26*IF('GW-1 Exp'!U$28&lt;=$E26,2*(VLOOKUP(A26,[1]!TOX,67,FALSE))*1*0.000001*SQRT(6*$C26*'GW-1 Exp'!$U$28/PI()),(VLOOKUP(A26,[1]!TOX,67,FALSE))*1*0.000001*('GW-1 Exp'!$U$28/(1+$B26)+2*$C26*(1+3*$B26+3*$B26^2)/(1+$B26)^2))</f>
        <v>8.4704590209234672E-9</v>
      </c>
      <c r="AE26" s="839">
        <f>L26*IF('GW-1 Exp'!U$29&lt;=$E26,2*(VLOOKUP(A26,[1]!TOX,67,FALSE))*1*0.000001*SQRT(6*$C26*'GW-1 Exp'!$U$29/PI()),(VLOOKUP(A26,[1]!TOX,67,FALSE))*1*0.000001*('GW-1 Exp'!$U$29/(1+$B26)+2*$C26*(1+3*$B26+3*$B26^2)/(1+$B26)^2))</f>
        <v>9.8388906508952166E-9</v>
      </c>
    </row>
    <row r="27" spans="1:31" x14ac:dyDescent="0.25">
      <c r="A27" s="540" t="s">
        <v>179</v>
      </c>
      <c r="B27" s="587">
        <f>(VLOOKUP(A27,[1]!TOX,67,FALSE))*(SQRT((VLOOKUP(A27,[1]!TOX,57,FALSE)))/2.6)</f>
        <v>1.4249082881973097E-2</v>
      </c>
      <c r="C27" s="596">
        <f>('GW-1 Exp'!$O$29^2)/(6*D27)</f>
        <v>2.7456725990595929</v>
      </c>
      <c r="D27" s="486">
        <f>10^(-2.8-(0.0056*(VLOOKUP(A27,[1]!TOX,57,FALSE))))*'GW-1 Exp'!$O$29</f>
        <v>6.0701580634104318E-8</v>
      </c>
      <c r="E27" s="597">
        <f t="shared" si="0"/>
        <v>6.5896142377430227</v>
      </c>
      <c r="F27" s="597">
        <f>IF(B27&lt;=0.6,0,(G27-SQRT(G27^2-H27^2))*('GW-1 Exp'!$O$29^2/D27))</f>
        <v>0</v>
      </c>
      <c r="G27" s="582">
        <f t="shared" si="1"/>
        <v>0.31199207523577405</v>
      </c>
      <c r="H27" s="598">
        <f t="shared" si="2"/>
        <v>0.34289944989652515</v>
      </c>
      <c r="I27" s="606">
        <f>IF('GW-1 Exp'!$U$13&lt;=$E27,2*(VLOOKUP(A27,[1]!TOX,67,FALSE))*1*0.000001*SQRT(6*$C27*'GW-1 Exp'!$U$13/PI()),(VLOOKUP(A27,[1]!TOX,67,FALSE))*1*0.000001*('GW-1 Exp'!$U$13/(1+$B27)+2*$C27*(1+3*$B27+3*$B27^2)/(1+$B27)^2))</f>
        <v>8.2135345374685889E-9</v>
      </c>
      <c r="J27" s="607">
        <f>IF('GW-1 Exp'!$U$21&lt;=$E27,2*(VLOOKUP(A27,[1]!TOX,67,FALSE))*1*0.000001*SQRT(6*$C27*'GW-1 Exp'!$U$21/PI()),(VLOOKUP(A27,[1]!TOX,67,FALSE))*1*0.000001*('GW-1 Exp'!$U$21/(1+$B27)+2*$C27*(1+3*$B27+3*$B27^2)/(1+$B27)^2))</f>
        <v>9.3334760102701515E-9</v>
      </c>
      <c r="K27" s="482"/>
      <c r="L27" s="554">
        <v>1</v>
      </c>
      <c r="M27" s="481">
        <f t="shared" si="3"/>
        <v>8.2135345374685889E-9</v>
      </c>
      <c r="N27" s="483">
        <f t="shared" si="4"/>
        <v>9.3334760102701515E-9</v>
      </c>
      <c r="O27" s="486" t="str">
        <f>IF(VLOOKUP(A27,[1]!TOX,81,FALSE)="Y","Inorganic",IF(K27="*","Streamlined",IF($E27=0,"Reduced Steady State",IF('GW-1 Exp'!$U$13&lt;=$E27,"Non-Steady State","Steady State"))))</f>
        <v>Non-Steady State</v>
      </c>
      <c r="P27" s="485" t="str">
        <f>IF(VLOOKUP(A27,[1]!TOX,81,FALSE)="Y","Inorganic",IF(K27="*","Streamlined",IF($E27=0,0,IF('GW-1 Exp'!$U$21&lt;=$E27,"Non-Steady State","Steady State"))))</f>
        <v>Non-Steady State</v>
      </c>
      <c r="Q27" s="563">
        <f>IF(K27=0,0,IF((VLOOKUP(A27,[1]!TOX,67,FALSE))=0,0,IF((VLOOKUP(A27,[1]!TOX,67,FALSE))&lt;0.5,0.2,1)))</f>
        <v>0</v>
      </c>
      <c r="R27" s="614">
        <f>IF(K27=0,IF(M27=0,0,('[1]Target Risk'!$D$8*(VLOOKUP(A27,[1]!TOX,4,FALSE))*(VLOOKUP(A27,[1]!TOX,37,FALSE)))/('GW-1 Exp'!$V$13*'GW-1 Derm'!$M27)),('[1]Target Risk'!$D$8*(VLOOKUP(A27,[1]!TOX,4,FALSE))*(VLOOKUP(A27,[1]!TOX,37,FALSE)))/('GW-1 Exp'!$J$18*'GW-1 Derm'!$Q27))</f>
        <v>1079.1969969696165</v>
      </c>
      <c r="S27" s="574">
        <f>IF(OR(VLOOKUP(A27,[1]!TOX,12,FALSE)=0,VLOOKUP(A27,[1]!TOX,38,FALSE)=0),0,IF(K27=0,('[1]Target Risk'!$D$12*(VLOOKUP(A27,[1]!TOX,38,FALSE)))/('GW-1 Exp'!$V$21*'GW-1 Derm'!N27*(VLOOKUP(A27,[1]!TOX,12,FALSE))),IF(Q27=0,0,('[1]Target Risk'!$D$12*(VLOOKUP(A27,[1]!TOX,38,FALSE)))/('GW-1 Exp'!$J$26*'GW-1 Derm'!Q27*(VLOOKUP(A27,[1]!TOX,12,FALSE))))))</f>
        <v>91.270760034483871</v>
      </c>
      <c r="T27" s="575">
        <f>IF(OR(VLOOKUP(A27,[1]!TOX,12,FALSE)=0,VLOOKUP(A27,[1]!TOX,38,FALSE)=0),0,IF(NOT(VLOOKUP(A27,[1]!TOX,36,FALSE)="M"), IF(K27=0,('[1]Target Risk'!$D$12*(VLOOKUP(A27,[1]!TOX,38,FALSE)))/('GW-1 Exp'!$V$21*'GW-1 Derm'!N27*(VLOOKUP(A27,[1]!TOX,12,FALSE))),IF(Q27=0,0,('[1]Target Risk'!$D$12*(VLOOKUP(A27,[1]!TOX,38,FALSE)))/('GW-1 Exp'!$J$26*'GW-1 Derm'!Q27*(VLOOKUP(A27,[1]!TOX,12,FALSE))))), IF(K27=0,('[1]Target Risk'!$D$12*(VLOOKUP(A27,[1]!TOX,38,FALSE)))/(('GW-1 Exp'!$V$26*'GW-1 Derm'!AB27*(VLOOKUP(A27,[1]!TOX,12,FALSE))*10)+('GW-1 Exp'!$V$27*'GW-1 Derm'!AC27*(VLOOKUP(A27,[1]!TOX,12,FALSE))*3)+('GW-1 Exp'!$V$28*'GW-1 Derm'!AD27*(VLOOKUP(A27,[1]!TOX,12,FALSE))*3)+('GW-1 Exp'!$V$29*'GW-1 Derm'!AE27*(VLOOKUP(A27,[1]!TOX,12,FALSE))*1)),IF(Q27=0,0,(('[1]Target Risk'!$D$12*(VLOOKUP(A27,[1]!TOX,38,FALSE)))/(('GW-1 Exp'!$J$33*'GW-1 Derm'!Q27*(VLOOKUP(A27,[1]!TOX,12,FALSE))*10)+('GW-1 Exp'!$J$34*'GW-1 Derm'!Q27*(VLOOKUP(A27,[1]!TOX,12,FALSE))*3)+('GW-1 Exp'!$J$35*'GW-1 Derm'!Q27*(VLOOKUP(A27,[1]!TOX,12,FALSE))*3)+('GW-1 Exp'!$J$36*'GW-1 Derm'!Q27*(VLOOKUP(A27,[1]!TOX,12,FALSE))*1)))))))</f>
        <v>91.270760034483871</v>
      </c>
      <c r="AB27" s="838">
        <f>L27*IF('GW-1 Exp'!U$26&lt;=$E27,2*(VLOOKUP(A27,[1]!TOX,67,FALSE))*1*0.000001*SQRT(6*$C27*'GW-1 Exp'!$U$26/PI()),(VLOOKUP(A27,[1]!TOX,67,FALSE))*1*0.000001*('GW-1 Exp'!$U$26/(1+$B27)+2*$C27*(1+3*$B27+3*$B27^2)/(1+$B27)^2))</f>
        <v>7.6676146950453296E-9</v>
      </c>
      <c r="AC27" s="837">
        <f>L27*IF('GW-1 Exp'!U$27&lt;=$E27,2*(VLOOKUP(A27,[1]!TOX,67,FALSE))*1*0.000001*SQRT(6*$C27*'GW-1 Exp'!$U$27/PI()),(VLOOKUP(A27,[1]!TOX,67,FALSE))*1*0.000001*('GW-1 Exp'!$U$27/(1+$B27)+2*$C27*(1+3*$B27+3*$B27^2)/(1+$B27)^2))</f>
        <v>8.3200486614119368E-9</v>
      </c>
      <c r="AD27" s="837">
        <f>L27*IF('GW-1 Exp'!U$28&lt;=$E27,2*(VLOOKUP(A27,[1]!TOX,67,FALSE))*1*0.000001*SQRT(6*$C27*'GW-1 Exp'!$U$28/PI()),(VLOOKUP(A27,[1]!TOX,67,FALSE))*1*0.000001*('GW-1 Exp'!$U$28/(1+$B27)+2*$C27*(1+3*$B27+3*$B27^2)/(1+$B27)^2))</f>
        <v>8.7640923605335533E-9</v>
      </c>
      <c r="AE27" s="839">
        <f>L27*IF('GW-1 Exp'!U$29&lt;=$E27,2*(VLOOKUP(A27,[1]!TOX,67,FALSE))*1*0.000001*SQRT(6*$C27*'GW-1 Exp'!$U$29/PI()),(VLOOKUP(A27,[1]!TOX,67,FALSE))*1*0.000001*('GW-1 Exp'!$U$29/(1+$B27)+2*$C27*(1+3*$B27+3*$B27^2)/(1+$B27)^2))</f>
        <v>1.0179961460959279E-8</v>
      </c>
    </row>
    <row r="28" spans="1:31" x14ac:dyDescent="0.25">
      <c r="A28" s="540" t="s">
        <v>180</v>
      </c>
      <c r="B28" s="587">
        <f>(VLOOKUP(A28,[1]!TOX,67,FALSE))*(SQRT((VLOOKUP(A28,[1]!TOX,57,FALSE)))/2.6)</f>
        <v>0</v>
      </c>
      <c r="C28" s="596">
        <f>('GW-1 Exp'!$O$29^2)/(6*D28)</f>
        <v>0.35797174568842249</v>
      </c>
      <c r="D28" s="486">
        <f>10^(-2.8-(0.0056*(VLOOKUP(A28,[1]!TOX,57,FALSE))))*'GW-1 Exp'!$O$29</f>
        <v>4.6558609352295866E-7</v>
      </c>
      <c r="E28" s="597">
        <f t="shared" si="0"/>
        <v>0</v>
      </c>
      <c r="F28" s="597">
        <f>IF(B28&lt;=0.6,0,(G28-SQRT(G28^2-H28^2))*('GW-1 Exp'!$O$29^2/D28))</f>
        <v>0</v>
      </c>
      <c r="G28" s="582">
        <f t="shared" si="1"/>
        <v>0.30328643903424807</v>
      </c>
      <c r="H28" s="598">
        <f t="shared" si="2"/>
        <v>0.33333333333333331</v>
      </c>
      <c r="I28" s="606">
        <f>IF('GW-1 Exp'!$U$13&lt;=$E28,2*(VLOOKUP(A28,[1]!TOX,67,FALSE))*1*0.000001*SQRT(6*$C28*'GW-1 Exp'!$U$13/PI()),(VLOOKUP(A28,[1]!TOX,67,FALSE))*1*0.000001*('GW-1 Exp'!$U$13/(1+$B28)+2*$C28*(1+3*$B28+3*$B28^2)/(1+$B28)^2))</f>
        <v>0</v>
      </c>
      <c r="J28" s="607">
        <f>IF('GW-1 Exp'!$U$21&lt;=$E28,2*(VLOOKUP(A28,[1]!TOX,67,FALSE))*1*0.000001*SQRT(6*$C28*'GW-1 Exp'!$U$21/PI()),(VLOOKUP(A28,[1]!TOX,67,FALSE))*1*0.000001*('GW-1 Exp'!$U$21/(1+$B28)+2*$C28*(1+3*$B28+3*$B28^2)/(1+$B28)^2))</f>
        <v>0</v>
      </c>
      <c r="K28" s="482"/>
      <c r="L28" s="554">
        <v>1</v>
      </c>
      <c r="M28" s="481">
        <f t="shared" si="3"/>
        <v>0</v>
      </c>
      <c r="N28" s="483">
        <f t="shared" si="4"/>
        <v>0</v>
      </c>
      <c r="O28" s="486" t="str">
        <f>IF(VLOOKUP(A28,[1]!TOX,81,FALSE)="Y","Inorganic",IF(K28="*","Streamlined",IF($E28=0,"Reduced Steady State",IF('GW-1 Exp'!$U$13&lt;=$E28,"Non-Steady State","Steady State"))))</f>
        <v>Reduced Steady State</v>
      </c>
      <c r="P28" s="485">
        <f>IF(VLOOKUP(A28,[1]!TOX,81,FALSE)="Y","Inorganic",IF(K28="*","Streamlined",IF($E28=0,0,IF('GW-1 Exp'!$U$21&lt;=$E28,"Non-Steady State","Steady State"))))</f>
        <v>0</v>
      </c>
      <c r="Q28" s="563">
        <f>IF(K28=0,0,IF((VLOOKUP(A28,[1]!TOX,67,FALSE))=0,0,IF((VLOOKUP(A28,[1]!TOX,67,FALSE))&lt;0.5,0.2,1)))</f>
        <v>0</v>
      </c>
      <c r="R28" s="614">
        <f>IF(K28=0,IF(M28=0,0,('[1]Target Risk'!$D$8*(VLOOKUP(A28,[1]!TOX,4,FALSE))*(VLOOKUP(A28,[1]!TOX,37,FALSE)))/('GW-1 Exp'!$V$13*'GW-1 Derm'!$M28)),('[1]Target Risk'!$D$8*(VLOOKUP(A28,[1]!TOX,4,FALSE))*(VLOOKUP(A28,[1]!TOX,37,FALSE)))/('GW-1 Exp'!$J$18*'GW-1 Derm'!$Q28))</f>
        <v>0</v>
      </c>
      <c r="S28" s="574">
        <f>IF(OR(VLOOKUP(A28,[1]!TOX,12,FALSE)=0,VLOOKUP(A28,[1]!TOX,38,FALSE)=0),0,IF(K28=0,('[1]Target Risk'!$D$12*(VLOOKUP(A28,[1]!TOX,38,FALSE)))/('GW-1 Exp'!$V$21*'GW-1 Derm'!N28*(VLOOKUP(A28,[1]!TOX,12,FALSE))),IF(Q28=0,0,('[1]Target Risk'!$D$12*(VLOOKUP(A28,[1]!TOX,38,FALSE)))/('GW-1 Exp'!$J$26*'GW-1 Derm'!Q28*(VLOOKUP(A28,[1]!TOX,12,FALSE))))))</f>
        <v>0</v>
      </c>
      <c r="T28" s="575">
        <f>IF(OR(VLOOKUP(A28,[1]!TOX,12,FALSE)=0,VLOOKUP(A28,[1]!TOX,38,FALSE)=0),0,IF(NOT(VLOOKUP(A28,[1]!TOX,36,FALSE)="M"), IF(K28=0,('[1]Target Risk'!$D$12*(VLOOKUP(A28,[1]!TOX,38,FALSE)))/('GW-1 Exp'!$V$21*'GW-1 Derm'!N28*(VLOOKUP(A28,[1]!TOX,12,FALSE))),IF(Q28=0,0,('[1]Target Risk'!$D$12*(VLOOKUP(A28,[1]!TOX,38,FALSE)))/('GW-1 Exp'!$J$26*'GW-1 Derm'!Q28*(VLOOKUP(A28,[1]!TOX,12,FALSE))))), IF(K28=0,('[1]Target Risk'!$D$12*(VLOOKUP(A28,[1]!TOX,38,FALSE)))/(('GW-1 Exp'!$V$26*'GW-1 Derm'!AB28*(VLOOKUP(A28,[1]!TOX,12,FALSE))*10)+('GW-1 Exp'!$V$27*'GW-1 Derm'!AC28*(VLOOKUP(A28,[1]!TOX,12,FALSE))*3)+('GW-1 Exp'!$V$28*'GW-1 Derm'!AD28*(VLOOKUP(A28,[1]!TOX,12,FALSE))*3)+('GW-1 Exp'!$V$29*'GW-1 Derm'!AE28*(VLOOKUP(A28,[1]!TOX,12,FALSE))*1)),IF(Q28=0,0,(('[1]Target Risk'!$D$12*(VLOOKUP(A28,[1]!TOX,38,FALSE)))/(('GW-1 Exp'!$J$33*'GW-1 Derm'!Q28*(VLOOKUP(A28,[1]!TOX,12,FALSE))*10)+('GW-1 Exp'!$J$34*'GW-1 Derm'!Q28*(VLOOKUP(A28,[1]!TOX,12,FALSE))*3)+('GW-1 Exp'!$J$35*'GW-1 Derm'!Q28*(VLOOKUP(A28,[1]!TOX,12,FALSE))*3)+('GW-1 Exp'!$J$36*'GW-1 Derm'!Q28*(VLOOKUP(A28,[1]!TOX,12,FALSE))*1)))))))</f>
        <v>0</v>
      </c>
      <c r="AB28" s="838">
        <f>L28*IF('GW-1 Exp'!U$26&lt;=$E28,2*(VLOOKUP(A28,[1]!TOX,67,FALSE))*1*0.000001*SQRT(6*$C28*'GW-1 Exp'!$U$26/PI()),(VLOOKUP(A28,[1]!TOX,67,FALSE))*1*0.000001*('GW-1 Exp'!$U$26/(1+$B28)+2*$C28*(1+3*$B28+3*$B28^2)/(1+$B28)^2))</f>
        <v>0</v>
      </c>
      <c r="AC28" s="837">
        <f>L28*IF('GW-1 Exp'!U$27&lt;=$E28,2*(VLOOKUP(A28,[1]!TOX,67,FALSE))*1*0.000001*SQRT(6*$C28*'GW-1 Exp'!$U$27/PI()),(VLOOKUP(A28,[1]!TOX,67,FALSE))*1*0.000001*('GW-1 Exp'!$U$27/(1+$B28)+2*$C28*(1+3*$B28+3*$B28^2)/(1+$B28)^2))</f>
        <v>0</v>
      </c>
      <c r="AD28" s="837">
        <f>L28*IF('GW-1 Exp'!U$28&lt;=$E28,2*(VLOOKUP(A28,[1]!TOX,67,FALSE))*1*0.000001*SQRT(6*$C28*'GW-1 Exp'!$U$28/PI()),(VLOOKUP(A28,[1]!TOX,67,FALSE))*1*0.000001*('GW-1 Exp'!$U$28/(1+$B28)+2*$C28*(1+3*$B28+3*$B28^2)/(1+$B28)^2))</f>
        <v>0</v>
      </c>
      <c r="AE28" s="839">
        <f>L28*IF('GW-1 Exp'!U$29&lt;=$E28,2*(VLOOKUP(A28,[1]!TOX,67,FALSE))*1*0.000001*SQRT(6*$C28*'GW-1 Exp'!$U$29/PI()),(VLOOKUP(A28,[1]!TOX,67,FALSE))*1*0.000001*('GW-1 Exp'!$U$29/(1+$B28)+2*$C28*(1+3*$B28+3*$B28^2)/(1+$B28)^2))</f>
        <v>0</v>
      </c>
    </row>
    <row r="29" spans="1:31" x14ac:dyDescent="0.25">
      <c r="A29" s="541" t="s">
        <v>181</v>
      </c>
      <c r="B29" s="587">
        <f>(VLOOKUP(A29,[1]!TOX,67,FALSE))*(SQRT((VLOOKUP(A29,[1]!TOX,57,FALSE)))/2.6)</f>
        <v>4.070386632407063E-3</v>
      </c>
      <c r="C29" s="596">
        <f>('GW-1 Exp'!$O$29^2)/(6*D29)</f>
        <v>0.44570627618149894</v>
      </c>
      <c r="D29" s="486">
        <f>10^(-2.8-(0.0056*(VLOOKUP(A29,[1]!TOX,57,FALSE))))*'GW-1 Exp'!$O$29</f>
        <v>3.7393834364315132E-7</v>
      </c>
      <c r="E29" s="597">
        <f t="shared" si="0"/>
        <v>1.0696950628355975</v>
      </c>
      <c r="F29" s="597">
        <f>IF(B29&lt;=0.6,0,(G29-SQRT(G29^2-H29^2))*('GW-1 Exp'!$O$29^2/D29))</f>
        <v>0</v>
      </c>
      <c r="G29" s="582">
        <f t="shared" si="1"/>
        <v>0.30576047242112092</v>
      </c>
      <c r="H29" s="598">
        <f t="shared" si="2"/>
        <v>0.33605242471572683</v>
      </c>
      <c r="I29" s="854">
        <f>(VLOOKUP(A29,[1]!TOX,67,FALSE))*1*0.000001*'GW-1 Exp'!$U$13</f>
        <v>5.9285714285714288E-10</v>
      </c>
      <c r="J29" s="855">
        <f>(VLOOKUP(A29,[1]!TOX,67,FALSE))*1*0.000001*'GW-1 Exp'!$U$21</f>
        <v>7.6555555555555563E-10</v>
      </c>
      <c r="K29" s="482"/>
      <c r="L29" s="554">
        <v>1</v>
      </c>
      <c r="M29" s="481">
        <f t="shared" si="3"/>
        <v>5.9285714285714288E-10</v>
      </c>
      <c r="N29" s="483">
        <f t="shared" si="4"/>
        <v>7.6555555555555563E-10</v>
      </c>
      <c r="O29" s="486" t="str">
        <f>IF(VLOOKUP(A29,[1]!TOX,81,FALSE)="Y","Inorganic",IF(K29="*","Streamlined",IF($E29=0,"Reduced Steady State",IF('GW-1 Exp'!$U$13&lt;=$E29,"Non-Steady State","Steady State"))))</f>
        <v>Inorganic</v>
      </c>
      <c r="P29" s="485" t="str">
        <f>IF(VLOOKUP(A29,[1]!TOX,81,FALSE)="Y","Inorganic",IF(K29="*","Streamlined",IF($E29=0,0,IF('GW-1 Exp'!$U$21&lt;=$E29,"Non-Steady State","Steady State"))))</f>
        <v>Inorganic</v>
      </c>
      <c r="Q29" s="563">
        <f>IF(K29=0,0,IF((VLOOKUP(A29,[1]!TOX,67,FALSE))=0,0,IF((VLOOKUP(A29,[1]!TOX,67,FALSE))&lt;0.5,0.2,1)))</f>
        <v>0</v>
      </c>
      <c r="R29" s="614">
        <f>IF(K29=0,IF(M29=0,0,('[1]Target Risk'!$D$8*(VLOOKUP(A29,[1]!TOX,4,FALSE))*(VLOOKUP(A29,[1]!TOX,37,FALSE)))/('GW-1 Exp'!$V$13*'GW-1 Derm'!$M29)),('[1]Target Risk'!$D$8*(VLOOKUP(A29,[1]!TOX,4,FALSE))*(VLOOKUP(A29,[1]!TOX,37,FALSE)))/('GW-1 Exp'!$J$18*'GW-1 Derm'!$Q29))</f>
        <v>29.072092942421289</v>
      </c>
      <c r="S29" s="574">
        <f>IF(OR(VLOOKUP(A29,[1]!TOX,12,FALSE)=0,VLOOKUP(A29,[1]!TOX,38,FALSE)=0),0,IF(K29=0,('[1]Target Risk'!$D$12*(VLOOKUP(A29,[1]!TOX,38,FALSE)))/('GW-1 Exp'!$V$21*'GW-1 Derm'!N29*(VLOOKUP(A29,[1]!TOX,12,FALSE))),IF(Q29=0,0,('[1]Target Risk'!$D$12*(VLOOKUP(A29,[1]!TOX,38,FALSE)))/('GW-1 Exp'!$J$26*'GW-1 Derm'!Q29*(VLOOKUP(A29,[1]!TOX,12,FALSE))))))</f>
        <v>0</v>
      </c>
      <c r="T29" s="575">
        <f>IF(OR(VLOOKUP(A29,[1]!TOX,12,FALSE)=0,VLOOKUP(A29,[1]!TOX,38,FALSE)=0),0,IF(NOT(VLOOKUP(A29,[1]!TOX,36,FALSE)="M"), IF(K29=0,('[1]Target Risk'!$D$12*(VLOOKUP(A29,[1]!TOX,38,FALSE)))/('GW-1 Exp'!$V$21*'GW-1 Derm'!N29*(VLOOKUP(A29,[1]!TOX,12,FALSE))),IF(Q29=0,0,('[1]Target Risk'!$D$12*(VLOOKUP(A29,[1]!TOX,38,FALSE)))/('GW-1 Exp'!$J$26*'GW-1 Derm'!Q29*(VLOOKUP(A29,[1]!TOX,12,FALSE))))), IF(K29=0,('[1]Target Risk'!$D$12*(VLOOKUP(A29,[1]!TOX,38,FALSE)))/(('GW-1 Exp'!$V$26*'GW-1 Derm'!AB29*(VLOOKUP(A29,[1]!TOX,12,FALSE))*10)+('GW-1 Exp'!$V$27*'GW-1 Derm'!AC29*(VLOOKUP(A29,[1]!TOX,12,FALSE))*3)+('GW-1 Exp'!$V$28*'GW-1 Derm'!AD29*(VLOOKUP(A29,[1]!TOX,12,FALSE))*3)+('GW-1 Exp'!$V$29*'GW-1 Derm'!AE29*(VLOOKUP(A29,[1]!TOX,12,FALSE))*1)),IF(Q29=0,0,(('[1]Target Risk'!$D$12*(VLOOKUP(A29,[1]!TOX,38,FALSE)))/(('GW-1 Exp'!$J$33*'GW-1 Derm'!Q29*(VLOOKUP(A29,[1]!TOX,12,FALSE))*10)+('GW-1 Exp'!$J$34*'GW-1 Derm'!Q29*(VLOOKUP(A29,[1]!TOX,12,FALSE))*3)+('GW-1 Exp'!$J$35*'GW-1 Derm'!Q29*(VLOOKUP(A29,[1]!TOX,12,FALSE))*3)+('GW-1 Exp'!$J$36*'GW-1 Derm'!Q29*(VLOOKUP(A29,[1]!TOX,12,FALSE))*1)))))))</f>
        <v>0</v>
      </c>
      <c r="AB29" s="838">
        <f>L29*IF('GW-1 Exp'!U$26&lt;=$E29,2*(VLOOKUP(A29,[1]!TOX,67,FALSE))*1*0.000001*SQRT(6*$C29*'GW-1 Exp'!$U$26/PI()),(VLOOKUP(A29,[1]!TOX,67,FALSE))*1*0.000001*('GW-1 Exp'!$U$26/(1+$B29)+2*$C29*(1+3*$B29+3*$B29^2)/(1+$B29)^2))</f>
        <v>1.3263565335647514E-9</v>
      </c>
      <c r="AC29" s="837">
        <f>L29*IF('GW-1 Exp'!U$27&lt;=$E29,2*(VLOOKUP(A29,[1]!TOX,67,FALSE))*1*0.000001*SQRT(6*$C29*'GW-1 Exp'!$U$27/PI()),(VLOOKUP(A29,[1]!TOX,67,FALSE))*1*0.000001*('GW-1 Exp'!$U$27/(1+$B29)+2*$C29*(1+3*$B29+3*$B29^2)/(1+$B29)^2))</f>
        <v>1.4392156283976069E-9</v>
      </c>
      <c r="AD29" s="837">
        <f>L29*IF('GW-1 Exp'!U$28&lt;=$E29,2*(VLOOKUP(A29,[1]!TOX,67,FALSE))*1*0.000001*SQRT(6*$C29*'GW-1 Exp'!$U$28/PI()),(VLOOKUP(A29,[1]!TOX,67,FALSE))*1*0.000001*('GW-1 Exp'!$U$28/(1+$B29)+2*$C29*(1+3*$B29+3*$B29^2)/(1+$B29)^2))</f>
        <v>1.5160270338923027E-9</v>
      </c>
      <c r="AE29" s="839">
        <f>L29*IF('GW-1 Exp'!U$29&lt;=$E29,2*(VLOOKUP(A29,[1]!TOX,67,FALSE))*1*0.000001*SQRT(6*$C29*'GW-1 Exp'!$U$29/PI()),(VLOOKUP(A29,[1]!TOX,67,FALSE))*1*0.000001*('GW-1 Exp'!$U$29/(1+$B29)+2*$C29*(1+3*$B29+3*$B29^2)/(1+$B29)^2))</f>
        <v>1.7609463871346617E-9</v>
      </c>
    </row>
    <row r="30" spans="1:31" x14ac:dyDescent="0.25">
      <c r="A30" s="540" t="s">
        <v>182</v>
      </c>
      <c r="B30" s="587">
        <f>(VLOOKUP(A30,[1]!TOX,67,FALSE))*(SQRT((VLOOKUP(A30,[1]!TOX,57,FALSE)))/2.6)</f>
        <v>7.6592635304495227E-2</v>
      </c>
      <c r="C30" s="596">
        <f>('GW-1 Exp'!$O$29^2)/(6*D30)</f>
        <v>0.76603524111000232</v>
      </c>
      <c r="D30" s="486">
        <f>10^(-2.8-(0.0056*(VLOOKUP(A30,[1]!TOX,57,FALSE))))*'GW-1 Exp'!$O$29</f>
        <v>2.1757049509257941E-7</v>
      </c>
      <c r="E30" s="597">
        <f t="shared" si="0"/>
        <v>1.8384845786640054</v>
      </c>
      <c r="F30" s="597">
        <f>IF(B30&lt;=0.6,0,(G30-SQRT(G30^2-H30^2))*('GW-1 Exp'!$O$29^2/D30))</f>
        <v>0</v>
      </c>
      <c r="G30" s="582">
        <f t="shared" si="1"/>
        <v>0.35166378309350788</v>
      </c>
      <c r="H30" s="598">
        <f t="shared" si="2"/>
        <v>0.38621144784546702</v>
      </c>
      <c r="I30" s="606">
        <f>IF('GW-1 Exp'!$U$13&lt;=$E30,2*(VLOOKUP(A30,[1]!TOX,67,FALSE))*1*0.000001*SQRT(6*$C30*'GW-1 Exp'!$U$13/PI()),(VLOOKUP(A30,[1]!TOX,67,FALSE))*1*0.000001*('GW-1 Exp'!$U$13/(1+$B30)+2*$C30*(1+3*$B30+3*$B30^2)/(1+$B30)^2))</f>
        <v>2.989028717934944E-8</v>
      </c>
      <c r="J30" s="607">
        <f>IF('GW-1 Exp'!$U$21&lt;=$E30,2*(VLOOKUP(A30,[1]!TOX,67,FALSE))*1*0.000001*SQRT(6*$C30*'GW-1 Exp'!$U$21/PI()),(VLOOKUP(A30,[1]!TOX,67,FALSE))*1*0.000001*('GW-1 Exp'!$U$21/(1+$B30)+2*$C30*(1+3*$B30+3*$B30^2)/(1+$B30)^2))</f>
        <v>3.3965922594698811E-8</v>
      </c>
      <c r="K30" s="482"/>
      <c r="L30" s="554">
        <v>1</v>
      </c>
      <c r="M30" s="481">
        <f t="shared" si="3"/>
        <v>2.989028717934944E-8</v>
      </c>
      <c r="N30" s="483">
        <f t="shared" si="4"/>
        <v>3.3965922594698811E-8</v>
      </c>
      <c r="O30" s="486" t="str">
        <f>IF(VLOOKUP(A30,[1]!TOX,81,FALSE)="Y","Inorganic",IF(K30="*","Streamlined",IF($E30=0,"Reduced Steady State",IF('GW-1 Exp'!$U$13&lt;=$E30,"Non-Steady State","Steady State"))))</f>
        <v>Non-Steady State</v>
      </c>
      <c r="P30" s="485" t="str">
        <f>IF(VLOOKUP(A30,[1]!TOX,81,FALSE)="Y","Inorganic",IF(K30="*","Streamlined",IF($E30=0,0,IF('GW-1 Exp'!$U$21&lt;=$E30,"Non-Steady State","Steady State"))))</f>
        <v>Non-Steady State</v>
      </c>
      <c r="Q30" s="563">
        <f>IF(K30=0,0,IF((VLOOKUP(A30,[1]!TOX,67,FALSE))=0,0,IF((VLOOKUP(A30,[1]!TOX,67,FALSE))&lt;0.5,0.2,1)))</f>
        <v>0</v>
      </c>
      <c r="R30" s="614">
        <f>IF(K30=0,IF(M30=0,0,('[1]Target Risk'!$D$8*(VLOOKUP(A30,[1]!TOX,4,FALSE))*(VLOOKUP(A30,[1]!TOX,37,FALSE)))/('GW-1 Exp'!$V$13*'GW-1 Derm'!$M30)),('[1]Target Risk'!$D$8*(VLOOKUP(A30,[1]!TOX,4,FALSE))*(VLOOKUP(A30,[1]!TOX,37,FALSE)))/('GW-1 Exp'!$J$18*'GW-1 Derm'!$Q30))</f>
        <v>65.90042484485501</v>
      </c>
      <c r="S30" s="574">
        <f>IF(OR(VLOOKUP(A30,[1]!TOX,12,FALSE)=0,VLOOKUP(A30,[1]!TOX,38,FALSE)=0),0,IF(K30=0,('[1]Target Risk'!$D$12*(VLOOKUP(A30,[1]!TOX,38,FALSE)))/('GW-1 Exp'!$V$21*'GW-1 Derm'!N30*(VLOOKUP(A30,[1]!TOX,12,FALSE))),IF(Q30=0,0,('[1]Target Risk'!$D$12*(VLOOKUP(A30,[1]!TOX,38,FALSE)))/('GW-1 Exp'!$J$26*'GW-1 Derm'!Q30*(VLOOKUP(A30,[1]!TOX,12,FALSE))))))</f>
        <v>3.1449823238078816</v>
      </c>
      <c r="T30" s="575">
        <f>IF(OR(VLOOKUP(A30,[1]!TOX,12,FALSE)=0,VLOOKUP(A30,[1]!TOX,38,FALSE)=0),0,IF(NOT(VLOOKUP(A30,[1]!TOX,36,FALSE)="M"), IF(K30=0,('[1]Target Risk'!$D$12*(VLOOKUP(A30,[1]!TOX,38,FALSE)))/('GW-1 Exp'!$V$21*'GW-1 Derm'!N30*(VLOOKUP(A30,[1]!TOX,12,FALSE))),IF(Q30=0,0,('[1]Target Risk'!$D$12*(VLOOKUP(A30,[1]!TOX,38,FALSE)))/('GW-1 Exp'!$J$26*'GW-1 Derm'!Q30*(VLOOKUP(A30,[1]!TOX,12,FALSE))))), IF(K30=0,('[1]Target Risk'!$D$12*(VLOOKUP(A30,[1]!TOX,38,FALSE)))/(('GW-1 Exp'!$V$26*'GW-1 Derm'!AB30*(VLOOKUP(A30,[1]!TOX,12,FALSE))*10)+('GW-1 Exp'!$V$27*'GW-1 Derm'!AC30*(VLOOKUP(A30,[1]!TOX,12,FALSE))*3)+('GW-1 Exp'!$V$28*'GW-1 Derm'!AD30*(VLOOKUP(A30,[1]!TOX,12,FALSE))*3)+('GW-1 Exp'!$V$29*'GW-1 Derm'!AE30*(VLOOKUP(A30,[1]!TOX,12,FALSE))*1)),IF(Q30=0,0,(('[1]Target Risk'!$D$12*(VLOOKUP(A30,[1]!TOX,38,FALSE)))/(('GW-1 Exp'!$J$33*'GW-1 Derm'!Q30*(VLOOKUP(A30,[1]!TOX,12,FALSE))*10)+('GW-1 Exp'!$J$34*'GW-1 Derm'!Q30*(VLOOKUP(A30,[1]!TOX,12,FALSE))*3)+('GW-1 Exp'!$J$35*'GW-1 Derm'!Q30*(VLOOKUP(A30,[1]!TOX,12,FALSE))*3)+('GW-1 Exp'!$J$36*'GW-1 Derm'!Q30*(VLOOKUP(A30,[1]!TOX,12,FALSE))*1)))))))</f>
        <v>3.1449823238078816</v>
      </c>
      <c r="AB30" s="838">
        <f>L30*IF('GW-1 Exp'!U$26&lt;=$E30,2*(VLOOKUP(A30,[1]!TOX,67,FALSE))*1*0.000001*SQRT(6*$C30*'GW-1 Exp'!$U$26/PI()),(VLOOKUP(A30,[1]!TOX,67,FALSE))*1*0.000001*('GW-1 Exp'!$U$26/(1+$B30)+2*$C30*(1+3*$B30+3*$B30^2)/(1+$B30)^2))</f>
        <v>2.7903602787569238E-8</v>
      </c>
      <c r="AC30" s="837">
        <f>L30*IF('GW-1 Exp'!U$27&lt;=$E30,2*(VLOOKUP(A30,[1]!TOX,67,FALSE))*1*0.000001*SQRT(6*$C30*'GW-1 Exp'!$U$27/PI()),(VLOOKUP(A30,[1]!TOX,67,FALSE))*1*0.000001*('GW-1 Exp'!$U$27/(1+$B30)+2*$C30*(1+3*$B30+3*$B30^2)/(1+$B30)^2))</f>
        <v>3.0277908091978446E-8</v>
      </c>
      <c r="AD30" s="837">
        <f>L30*IF('GW-1 Exp'!U$28&lt;=$E30,2*(VLOOKUP(A30,[1]!TOX,67,FALSE))*1*0.000001*SQRT(6*$C30*'GW-1 Exp'!$U$28/PI()),(VLOOKUP(A30,[1]!TOX,67,FALSE))*1*0.000001*('GW-1 Exp'!$U$28/(1+$B30)+2*$C30*(1+3*$B30+3*$B30^2)/(1+$B30)^2))</f>
        <v>3.1893849880057467E-8</v>
      </c>
      <c r="AE30" s="839">
        <f>L30*IF('GW-1 Exp'!U$29&lt;=$E30,2*(VLOOKUP(A30,[1]!TOX,67,FALSE))*1*0.000001*SQRT(6*$C30*'GW-1 Exp'!$U$29/PI()),(VLOOKUP(A30,[1]!TOX,67,FALSE))*1*0.000001*('GW-1 Exp'!$U$29/(1+$B30)+2*$C30*(1+3*$B30+3*$B30^2)/(1+$B30)^2))</f>
        <v>3.7046410428385707E-8</v>
      </c>
    </row>
    <row r="31" spans="1:31" x14ac:dyDescent="0.25">
      <c r="A31" s="540" t="s">
        <v>183</v>
      </c>
      <c r="B31" s="587">
        <f>(VLOOKUP(A31,[1]!TOX,67,FALSE))*(SQRT((VLOOKUP(A31,[1]!TOX,57,FALSE)))/2.6)</f>
        <v>0.84531500943688975</v>
      </c>
      <c r="C31" s="596">
        <f>('GW-1 Exp'!$O$29^2)/(6*D31)</f>
        <v>20.789725237382417</v>
      </c>
      <c r="D31" s="486">
        <f>10^(-2.8-(0.0056*(VLOOKUP(A31,[1]!TOX,57,FALSE))))*'GW-1 Exp'!$O$29</f>
        <v>8.0167806338767778E-9</v>
      </c>
      <c r="E31" s="597">
        <f t="shared" si="0"/>
        <v>79.90738082345645</v>
      </c>
      <c r="F31" s="597">
        <f>IF(B31&lt;=0.6,0,(G31-SQRT(G31^2-H31^2))*('GW-1 Exp'!$O$29^2/D31))</f>
        <v>79.90738082345645</v>
      </c>
      <c r="G31" s="582">
        <f t="shared" si="1"/>
        <v>1.141857039673738</v>
      </c>
      <c r="H31" s="598">
        <f t="shared" si="2"/>
        <v>1.0259526412930637</v>
      </c>
      <c r="I31" s="606">
        <f>IF('GW-1 Exp'!$U$13&lt;=$E31,2*(VLOOKUP(A31,[1]!TOX,67,FALSE))*1*0.000001*SQRT(6*$C31*'GW-1 Exp'!$U$13/PI()),(VLOOKUP(A31,[1]!TOX,67,FALSE))*1*0.000001*('GW-1 Exp'!$U$13/(1+$B31)+2*$C31*(1+3*$B31+3*$B31^2)/(1+$B31)^2))</f>
        <v>1.0532466529097451E-6</v>
      </c>
      <c r="J31" s="607">
        <f>IF('GW-1 Exp'!$U$21&lt;=$E31,2*(VLOOKUP(A31,[1]!TOX,67,FALSE))*1*0.000001*SQRT(6*$C31*'GW-1 Exp'!$U$21/PI()),(VLOOKUP(A31,[1]!TOX,67,FALSE))*1*0.000001*('GW-1 Exp'!$U$21/(1+$B31)+2*$C31*(1+3*$B31+3*$B31^2)/(1+$B31)^2))</f>
        <v>1.1968601730455718E-6</v>
      </c>
      <c r="K31" s="482" t="s">
        <v>91</v>
      </c>
      <c r="L31" s="554">
        <v>0.7</v>
      </c>
      <c r="M31" s="481">
        <f t="shared" si="3"/>
        <v>7.3727265703682152E-7</v>
      </c>
      <c r="N31" s="483">
        <f t="shared" si="4"/>
        <v>8.378021211319002E-7</v>
      </c>
      <c r="O31" s="486" t="str">
        <f>IF(VLOOKUP(A31,[1]!TOX,81,FALSE)="Y","Inorganic",IF(K31="*","Streamlined",IF($E31=0,"Reduced Steady State",IF('GW-1 Exp'!$U$13&lt;=$E31,"Non-Steady State","Steady State"))))</f>
        <v>Streamlined</v>
      </c>
      <c r="P31" s="485" t="str">
        <f>IF(VLOOKUP(A31,[1]!TOX,81,FALSE)="Y","Inorganic",IF(K31="*","Streamlined",IF($E31=0,0,IF('GW-1 Exp'!$U$21&lt;=$E31,"Non-Steady State","Steady State"))))</f>
        <v>Streamlined</v>
      </c>
      <c r="Q31" s="563">
        <f>IF(K31=0,0,IF((VLOOKUP(A31,[1]!TOX,67,FALSE))=0,0,IF((VLOOKUP(A31,[1]!TOX,67,FALSE))&lt;0.5,0.2,1)))</f>
        <v>0.2</v>
      </c>
      <c r="R31" s="614">
        <f>IF(K31=0,IF(M31=0,0,('[1]Target Risk'!$D$8*(VLOOKUP(A31,[1]!TOX,4,FALSE))*(VLOOKUP(A31,[1]!TOX,37,FALSE)))/('GW-1 Exp'!$V$13*'GW-1 Derm'!$M31)),('[1]Target Risk'!$D$8*(VLOOKUP(A31,[1]!TOX,4,FALSE))*(VLOOKUP(A31,[1]!TOX,37,FALSE)))/('GW-1 Exp'!$J$18*'GW-1 Derm'!$Q31))</f>
        <v>6.4877747252747264</v>
      </c>
      <c r="S31" s="574">
        <f>IF(OR(VLOOKUP(A31,[1]!TOX,12,FALSE)=0,VLOOKUP(A31,[1]!TOX,38,FALSE)=0),0,IF(K31=0,('[1]Target Risk'!$D$12*(VLOOKUP(A31,[1]!TOX,38,FALSE)))/('GW-1 Exp'!$V$21*'GW-1 Derm'!N31*(VLOOKUP(A31,[1]!TOX,12,FALSE))),IF(Q31=0,0,('[1]Target Risk'!$D$12*(VLOOKUP(A31,[1]!TOX,38,FALSE)))/('GW-1 Exp'!$J$26*'GW-1 Derm'!Q31*(VLOOKUP(A31,[1]!TOX,12,FALSE))))))</f>
        <v>0.63156823366275761</v>
      </c>
      <c r="T31" s="575">
        <f>IF(OR(VLOOKUP(A31,[1]!TOX,12,FALSE)=0,VLOOKUP(A31,[1]!TOX,38,FALSE)=0),0,IF(NOT(VLOOKUP(A31,[1]!TOX,36,FALSE)="M"), IF(K31=0,('[1]Target Risk'!$D$12*(VLOOKUP(A31,[1]!TOX,38,FALSE)))/('GW-1 Exp'!$V$21*'GW-1 Derm'!N31*(VLOOKUP(A31,[1]!TOX,12,FALSE))),IF(Q31=0,0,('[1]Target Risk'!$D$12*(VLOOKUP(A31,[1]!TOX,38,FALSE)))/('GW-1 Exp'!$J$26*'GW-1 Derm'!Q31*(VLOOKUP(A31,[1]!TOX,12,FALSE))))), IF(K31=0,('[1]Target Risk'!$D$12*(VLOOKUP(A31,[1]!TOX,38,FALSE)))/(('GW-1 Exp'!$V$26*'GW-1 Derm'!AB31*(VLOOKUP(A31,[1]!TOX,12,FALSE))*10)+('GW-1 Exp'!$V$27*'GW-1 Derm'!AC31*(VLOOKUP(A31,[1]!TOX,12,FALSE))*3)+('GW-1 Exp'!$V$28*'GW-1 Derm'!AD31*(VLOOKUP(A31,[1]!TOX,12,FALSE))*3)+('GW-1 Exp'!$V$29*'GW-1 Derm'!AE31*(VLOOKUP(A31,[1]!TOX,12,FALSE))*1)),IF(Q31=0,0,(('[1]Target Risk'!$D$12*(VLOOKUP(A31,[1]!TOX,38,FALSE)))/(('GW-1 Exp'!$J$33*'GW-1 Derm'!Q31*(VLOOKUP(A31,[1]!TOX,12,FALSE))*10)+('GW-1 Exp'!$J$34*'GW-1 Derm'!Q31*(VLOOKUP(A31,[1]!TOX,12,FALSE))*3)+('GW-1 Exp'!$J$35*'GW-1 Derm'!Q31*(VLOOKUP(A31,[1]!TOX,12,FALSE))*3)+('GW-1 Exp'!$J$36*'GW-1 Derm'!Q31*(VLOOKUP(A31,[1]!TOX,12,FALSE))*1)))))))</f>
        <v>0.63156823366275761</v>
      </c>
      <c r="AB31" s="838">
        <f>L31*IF('GW-1 Exp'!U$26&lt;=$E31,2*(VLOOKUP(A31,[1]!TOX,67,FALSE))*1*0.000001*SQRT(6*$C31*'GW-1 Exp'!$U$26/PI()),(VLOOKUP(A31,[1]!TOX,67,FALSE))*1*0.000001*('GW-1 Exp'!$U$26/(1+$B31)+2*$C31*(1+3*$B31+3*$B31^2)/(1+$B31)^2))</f>
        <v>6.882691773635541E-7</v>
      </c>
      <c r="AC31" s="837">
        <f>L31*IF('GW-1 Exp'!U$27&lt;=$E31,2*(VLOOKUP(A31,[1]!TOX,67,FALSE))*1*0.000001*SQRT(6*$C31*'GW-1 Exp'!$U$27/PI()),(VLOOKUP(A31,[1]!TOX,67,FALSE))*1*0.000001*('GW-1 Exp'!$U$27/(1+$B31)+2*$C31*(1+3*$B31+3*$B31^2)/(1+$B31)^2))</f>
        <v>7.468336993400373E-7</v>
      </c>
      <c r="AD31" s="837">
        <f>L31*IF('GW-1 Exp'!U$28&lt;=$E31,2*(VLOOKUP(A31,[1]!TOX,67,FALSE))*1*0.000001*SQRT(6*$C31*'GW-1 Exp'!$U$28/PI()),(VLOOKUP(A31,[1]!TOX,67,FALSE))*1*0.000001*('GW-1 Exp'!$U$28/(1+$B31)+2*$C31*(1+3*$B31+3*$B31^2)/(1+$B31)^2))</f>
        <v>7.8669245641939214E-7</v>
      </c>
      <c r="AE31" s="839">
        <f>L31*IF('GW-1 Exp'!U$29&lt;=$E31,2*(VLOOKUP(A31,[1]!TOX,67,FALSE))*1*0.000001*SQRT(6*$C31*'GW-1 Exp'!$U$29/PI()),(VLOOKUP(A31,[1]!TOX,67,FALSE))*1*0.000001*('GW-1 Exp'!$U$29/(1+$B31)+2*$C31*(1+3*$B31+3*$B31^2)/(1+$B31)^2))</f>
        <v>9.1378531381534282E-7</v>
      </c>
    </row>
    <row r="32" spans="1:31" x14ac:dyDescent="0.25">
      <c r="A32" s="540" t="s">
        <v>184</v>
      </c>
      <c r="B32" s="587">
        <f>(VLOOKUP(A32,[1]!TOX,67,FALSE))*(SQRT((VLOOKUP(A32,[1]!TOX,57,FALSE)))/2.6)</f>
        <v>2.13614946563318E-2</v>
      </c>
      <c r="C32" s="596">
        <f>('GW-1 Exp'!$O$29^2)/(6*D32)</f>
        <v>0.54783370661462616</v>
      </c>
      <c r="D32" s="486">
        <f>10^(-2.8-(0.0056*(VLOOKUP(A32,[1]!TOX,57,FALSE))))*'GW-1 Exp'!$O$29</f>
        <v>3.0422857274809561E-7</v>
      </c>
      <c r="E32" s="597">
        <f t="shared" si="0"/>
        <v>1.3148008958751027</v>
      </c>
      <c r="F32" s="597">
        <f>IF(B32&lt;=0.6,0,(G32-SQRT(G32^2-H32^2))*('GW-1 Exp'!$O$29^2/D32))</f>
        <v>0</v>
      </c>
      <c r="G32" s="582">
        <f t="shared" si="1"/>
        <v>0.31638531723376528</v>
      </c>
      <c r="H32" s="598">
        <f t="shared" si="2"/>
        <v>0.34772325303209028</v>
      </c>
      <c r="I32" s="606">
        <f>IF('GW-1 Exp'!$U$13&lt;=$E32,2*(VLOOKUP(A32,[1]!TOX,67,FALSE))*1*0.000001*SQRT(6*$C32*'GW-1 Exp'!$U$13/PI()),(VLOOKUP(A32,[1]!TOX,67,FALSE))*1*0.000001*('GW-1 Exp'!$U$13/(1+$B32)+2*$C32*(1+3*$B32+3*$B32^2)/(1+$B32)^2))</f>
        <v>7.732680880294339E-9</v>
      </c>
      <c r="J32" s="607">
        <f>IF('GW-1 Exp'!$U$21&lt;=$E32,2*(VLOOKUP(A32,[1]!TOX,67,FALSE))*1*0.000001*SQRT(6*$C32*'GW-1 Exp'!$U$21/PI()),(VLOOKUP(A32,[1]!TOX,67,FALSE))*1*0.000001*('GW-1 Exp'!$U$21/(1+$B32)+2*$C32*(1+3*$B32+3*$B32^2)/(1+$B32)^2))</f>
        <v>8.7870564325337986E-9</v>
      </c>
      <c r="K32" s="482"/>
      <c r="L32" s="554">
        <v>1</v>
      </c>
      <c r="M32" s="481">
        <f t="shared" si="3"/>
        <v>7.732680880294339E-9</v>
      </c>
      <c r="N32" s="483">
        <f t="shared" si="4"/>
        <v>8.7870564325337986E-9</v>
      </c>
      <c r="O32" s="486" t="str">
        <f>IF(VLOOKUP(A32,[1]!TOX,81,FALSE)="Y","Inorganic",IF(K32="*","Streamlined",IF($E32=0,"Reduced Steady State",IF('GW-1 Exp'!$U$13&lt;=$E32,"Non-Steady State","Steady State"))))</f>
        <v>Non-Steady State</v>
      </c>
      <c r="P32" s="485" t="str">
        <f>IF(VLOOKUP(A32,[1]!TOX,81,FALSE)="Y","Inorganic",IF(K32="*","Streamlined",IF($E32=0,0,IF('GW-1 Exp'!$U$21&lt;=$E32,"Non-Steady State","Steady State"))))</f>
        <v>Non-Steady State</v>
      </c>
      <c r="Q32" s="563">
        <f>IF(K32=0,0,IF((VLOOKUP(A32,[1]!TOX,67,FALSE))=0,0,IF((VLOOKUP(A32,[1]!TOX,67,FALSE))&lt;0.5,0.2,1)))</f>
        <v>0</v>
      </c>
      <c r="R32" s="614">
        <f>IF(K32=0,IF(M32=0,0,('[1]Target Risk'!$D$8*(VLOOKUP(A32,[1]!TOX,4,FALSE))*(VLOOKUP(A32,[1]!TOX,37,FALSE)))/('GW-1 Exp'!$V$13*'GW-1 Derm'!$M32)),('[1]Target Risk'!$D$8*(VLOOKUP(A32,[1]!TOX,4,FALSE))*(VLOOKUP(A32,[1]!TOX,37,FALSE)))/('GW-1 Exp'!$J$18*'GW-1 Derm'!$Q32))</f>
        <v>31.841845253073348</v>
      </c>
      <c r="S32" s="574">
        <f>IF(OR(VLOOKUP(A32,[1]!TOX,12,FALSE)=0,VLOOKUP(A32,[1]!TOX,38,FALSE)=0),0,IF(K32=0,('[1]Target Risk'!$D$12*(VLOOKUP(A32,[1]!TOX,38,FALSE)))/('GW-1 Exp'!$V$21*'GW-1 Derm'!N32*(VLOOKUP(A32,[1]!TOX,12,FALSE))),IF(Q32=0,0,('[1]Target Risk'!$D$12*(VLOOKUP(A32,[1]!TOX,38,FALSE)))/('GW-1 Exp'!$J$26*'GW-1 Derm'!Q32*(VLOOKUP(A32,[1]!TOX,12,FALSE))))))</f>
        <v>4.2548695854310221</v>
      </c>
      <c r="T32" s="575">
        <f>IF(OR(VLOOKUP(A32,[1]!TOX,12,FALSE)=0,VLOOKUP(A32,[1]!TOX,38,FALSE)=0),0,IF(NOT(VLOOKUP(A32,[1]!TOX,36,FALSE)="M"), IF(K32=0,('[1]Target Risk'!$D$12*(VLOOKUP(A32,[1]!TOX,38,FALSE)))/('GW-1 Exp'!$V$21*'GW-1 Derm'!N32*(VLOOKUP(A32,[1]!TOX,12,FALSE))),IF(Q32=0,0,('[1]Target Risk'!$D$12*(VLOOKUP(A32,[1]!TOX,38,FALSE)))/('GW-1 Exp'!$J$26*'GW-1 Derm'!Q32*(VLOOKUP(A32,[1]!TOX,12,FALSE))))), IF(K32=0,('[1]Target Risk'!$D$12*(VLOOKUP(A32,[1]!TOX,38,FALSE)))/(('GW-1 Exp'!$V$26*'GW-1 Derm'!AB32*(VLOOKUP(A32,[1]!TOX,12,FALSE))*10)+('GW-1 Exp'!$V$27*'GW-1 Derm'!AC32*(VLOOKUP(A32,[1]!TOX,12,FALSE))*3)+('GW-1 Exp'!$V$28*'GW-1 Derm'!AD32*(VLOOKUP(A32,[1]!TOX,12,FALSE))*3)+('GW-1 Exp'!$V$29*'GW-1 Derm'!AE32*(VLOOKUP(A32,[1]!TOX,12,FALSE))*1)),IF(Q32=0,0,(('[1]Target Risk'!$D$12*(VLOOKUP(A32,[1]!TOX,38,FALSE)))/(('GW-1 Exp'!$J$33*'GW-1 Derm'!Q32*(VLOOKUP(A32,[1]!TOX,12,FALSE))*10)+('GW-1 Exp'!$J$34*'GW-1 Derm'!Q32*(VLOOKUP(A32,[1]!TOX,12,FALSE))*3)+('GW-1 Exp'!$J$35*'GW-1 Derm'!Q32*(VLOOKUP(A32,[1]!TOX,12,FALSE))*3)+('GW-1 Exp'!$J$36*'GW-1 Derm'!Q32*(VLOOKUP(A32,[1]!TOX,12,FALSE))*1)))))))</f>
        <v>4.2548695854310221</v>
      </c>
      <c r="AB32" s="838">
        <f>L32*IF('GW-1 Exp'!U$26&lt;=$E32,2*(VLOOKUP(A32,[1]!TOX,67,FALSE))*1*0.000001*SQRT(6*$C32*'GW-1 Exp'!$U$26/PI()),(VLOOKUP(A32,[1]!TOX,67,FALSE))*1*0.000001*('GW-1 Exp'!$U$26/(1+$B32)+2*$C32*(1+3*$B32+3*$B32^2)/(1+$B32)^2))</f>
        <v>7.2187214017747926E-9</v>
      </c>
      <c r="AC32" s="837">
        <f>L32*IF('GW-1 Exp'!U$27&lt;=$E32,2*(VLOOKUP(A32,[1]!TOX,67,FALSE))*1*0.000001*SQRT(6*$C32*'GW-1 Exp'!$U$27/PI()),(VLOOKUP(A32,[1]!TOX,67,FALSE))*1*0.000001*('GW-1 Exp'!$U$27/(1+$B32)+2*$C32*(1+3*$B32+3*$B32^2)/(1+$B32)^2))</f>
        <v>7.8329592349954408E-9</v>
      </c>
      <c r="AD32" s="837">
        <f>L32*IF('GW-1 Exp'!U$28&lt;=$E32,2*(VLOOKUP(A32,[1]!TOX,67,FALSE))*1*0.000001*SQRT(6*$C32*'GW-1 Exp'!$U$28/PI()),(VLOOKUP(A32,[1]!TOX,67,FALSE))*1*0.000001*('GW-1 Exp'!$U$28/(1+$B32)+2*$C32*(1+3*$B32+3*$B32^2)/(1+$B32)^2))</f>
        <v>8.2510068132395264E-9</v>
      </c>
      <c r="AE32" s="839">
        <f>L32*IF('GW-1 Exp'!U$29&lt;=$E32,2*(VLOOKUP(A32,[1]!TOX,67,FALSE))*1*0.000001*SQRT(6*$C32*'GW-1 Exp'!$U$29/PI()),(VLOOKUP(A32,[1]!TOX,67,FALSE))*1*0.000001*('GW-1 Exp'!$U$29/(1+$B32)+2*$C32*(1+3*$B32+3*$B32^2)/(1+$B32)^2))</f>
        <v>9.583985188373487E-9</v>
      </c>
    </row>
    <row r="33" spans="1:31" x14ac:dyDescent="0.25">
      <c r="A33" s="540" t="s">
        <v>185</v>
      </c>
      <c r="B33" s="587">
        <f>(VLOOKUP(A33,[1]!TOX,67,FALSE))*(SQRT((VLOOKUP(A33,[1]!TOX,57,FALSE)))/2.6)</f>
        <v>0.11302275096144265</v>
      </c>
      <c r="C33" s="596">
        <f>('GW-1 Exp'!$O$29^2)/(6*D33)</f>
        <v>0.45149063830996355</v>
      </c>
      <c r="D33" s="486">
        <f>10^(-2.8-(0.0056*(VLOOKUP(A33,[1]!TOX,57,FALSE))))*'GW-1 Exp'!$O$29</f>
        <v>3.6914755816541291E-7</v>
      </c>
      <c r="E33" s="597">
        <f t="shared" si="0"/>
        <v>1.0835775319439125</v>
      </c>
      <c r="F33" s="597">
        <f>IF(B33&lt;=0.6,0,(G33-SQRT(G33^2-H33^2))*('GW-1 Exp'!$O$29^2/D33))</f>
        <v>0</v>
      </c>
      <c r="G33" s="582">
        <f t="shared" si="1"/>
        <v>0.3761495851803765</v>
      </c>
      <c r="H33" s="598">
        <f t="shared" si="2"/>
        <v>0.41250749468783626</v>
      </c>
      <c r="I33" s="606">
        <f>IF('GW-1 Exp'!$U$13&lt;=$E33,2*(VLOOKUP(A33,[1]!TOX,67,FALSE))*1*0.000001*SQRT(6*$C33*'GW-1 Exp'!$U$13/PI()),(VLOOKUP(A33,[1]!TOX,67,FALSE))*1*0.000001*('GW-1 Exp'!$U$13/(1+$B33)+2*$C33*(1+3*$B33+3*$B33^2)/(1+$B33)^2))</f>
        <v>3.9530297942860765E-8</v>
      </c>
      <c r="J33" s="607">
        <f>IF('GW-1 Exp'!$U$21&lt;=$E33,2*(VLOOKUP(A33,[1]!TOX,67,FALSE))*1*0.000001*SQRT(6*$C33*'GW-1 Exp'!$U$21/PI()),(VLOOKUP(A33,[1]!TOX,67,FALSE))*1*0.000001*('GW-1 Exp'!$U$21/(1+$B33)+2*$C33*(1+3*$B33+3*$B33^2)/(1+$B33)^2))</f>
        <v>4.492037938665982E-8</v>
      </c>
      <c r="K33" s="482"/>
      <c r="L33" s="554">
        <v>1</v>
      </c>
      <c r="M33" s="481">
        <f t="shared" si="3"/>
        <v>3.9530297942860765E-8</v>
      </c>
      <c r="N33" s="483">
        <f t="shared" si="4"/>
        <v>4.492037938665982E-8</v>
      </c>
      <c r="O33" s="486" t="str">
        <f>IF(VLOOKUP(A33,[1]!TOX,81,FALSE)="Y","Inorganic",IF(K33="*","Streamlined",IF($E33=0,"Reduced Steady State",IF('GW-1 Exp'!$U$13&lt;=$E33,"Non-Steady State","Steady State"))))</f>
        <v>Non-Steady State</v>
      </c>
      <c r="P33" s="485" t="str">
        <f>IF(VLOOKUP(A33,[1]!TOX,81,FALSE)="Y","Inorganic",IF(K33="*","Streamlined",IF($E33=0,0,IF('GW-1 Exp'!$U$21&lt;=$E33,"Non-Steady State","Steady State"))))</f>
        <v>Non-Steady State</v>
      </c>
      <c r="Q33" s="563">
        <f>IF(K33=0,0,IF((VLOOKUP(A33,[1]!TOX,67,FALSE))=0,0,IF((VLOOKUP(A33,[1]!TOX,67,FALSE))&lt;0.5,0.2,1)))</f>
        <v>0</v>
      </c>
      <c r="R33" s="614">
        <f>IF(K33=0,IF(M33=0,0,('[1]Target Risk'!$D$8*(VLOOKUP(A33,[1]!TOX,4,FALSE))*(VLOOKUP(A33,[1]!TOX,37,FALSE)))/('GW-1 Exp'!$V$13*'GW-1 Derm'!$M33)),('[1]Target Risk'!$D$8*(VLOOKUP(A33,[1]!TOX,4,FALSE))*(VLOOKUP(A33,[1]!TOX,37,FALSE)))/('GW-1 Exp'!$J$18*'GW-1 Derm'!$Q33))</f>
        <v>249.14846666487071</v>
      </c>
      <c r="S33" s="574">
        <f>IF(OR(VLOOKUP(A33,[1]!TOX,12,FALSE)=0,VLOOKUP(A33,[1]!TOX,38,FALSE)=0),0,IF(K33=0,('[1]Target Risk'!$D$12*(VLOOKUP(A33,[1]!TOX,38,FALSE)))/('GW-1 Exp'!$V$21*'GW-1 Derm'!N33*(VLOOKUP(A33,[1]!TOX,12,FALSE))),IF(Q33=0,0,('[1]Target Risk'!$D$12*(VLOOKUP(A33,[1]!TOX,38,FALSE)))/('GW-1 Exp'!$J$26*'GW-1 Derm'!Q33*(VLOOKUP(A33,[1]!TOX,12,FALSE))))))</f>
        <v>0</v>
      </c>
      <c r="T33" s="575">
        <f>IF(OR(VLOOKUP(A33,[1]!TOX,12,FALSE)=0,VLOOKUP(A33,[1]!TOX,38,FALSE)=0),0,IF(NOT(VLOOKUP(A33,[1]!TOX,36,FALSE)="M"), IF(K33=0,('[1]Target Risk'!$D$12*(VLOOKUP(A33,[1]!TOX,38,FALSE)))/('GW-1 Exp'!$V$21*'GW-1 Derm'!N33*(VLOOKUP(A33,[1]!TOX,12,FALSE))),IF(Q33=0,0,('[1]Target Risk'!$D$12*(VLOOKUP(A33,[1]!TOX,38,FALSE)))/('GW-1 Exp'!$J$26*'GW-1 Derm'!Q33*(VLOOKUP(A33,[1]!TOX,12,FALSE))))), IF(K33=0,('[1]Target Risk'!$D$12*(VLOOKUP(A33,[1]!TOX,38,FALSE)))/(('GW-1 Exp'!$V$26*'GW-1 Derm'!AB33*(VLOOKUP(A33,[1]!TOX,12,FALSE))*10)+('GW-1 Exp'!$V$27*'GW-1 Derm'!AC33*(VLOOKUP(A33,[1]!TOX,12,FALSE))*3)+('GW-1 Exp'!$V$28*'GW-1 Derm'!AD33*(VLOOKUP(A33,[1]!TOX,12,FALSE))*3)+('GW-1 Exp'!$V$29*'GW-1 Derm'!AE33*(VLOOKUP(A33,[1]!TOX,12,FALSE))*1)),IF(Q33=0,0,(('[1]Target Risk'!$D$12*(VLOOKUP(A33,[1]!TOX,38,FALSE)))/(('GW-1 Exp'!$J$33*'GW-1 Derm'!Q33*(VLOOKUP(A33,[1]!TOX,12,FALSE))*10)+('GW-1 Exp'!$J$34*'GW-1 Derm'!Q33*(VLOOKUP(A33,[1]!TOX,12,FALSE))*3)+('GW-1 Exp'!$J$35*'GW-1 Derm'!Q33*(VLOOKUP(A33,[1]!TOX,12,FALSE))*3)+('GW-1 Exp'!$J$36*'GW-1 Derm'!Q33*(VLOOKUP(A33,[1]!TOX,12,FALSE))*1)))))))</f>
        <v>0</v>
      </c>
      <c r="AB33" s="838">
        <f>L33*IF('GW-1 Exp'!U$26&lt;=$E33,2*(VLOOKUP(A33,[1]!TOX,67,FALSE))*1*0.000001*SQRT(6*$C33*'GW-1 Exp'!$U$26/PI()),(VLOOKUP(A33,[1]!TOX,67,FALSE))*1*0.000001*('GW-1 Exp'!$U$26/(1+$B33)+2*$C33*(1+3*$B33+3*$B33^2)/(1+$B33)^2))</f>
        <v>3.69028817037903E-8</v>
      </c>
      <c r="AC33" s="837">
        <f>L33*IF('GW-1 Exp'!U$27&lt;=$E33,2*(VLOOKUP(A33,[1]!TOX,67,FALSE))*1*0.000001*SQRT(6*$C33*'GW-1 Exp'!$U$27/PI()),(VLOOKUP(A33,[1]!TOX,67,FALSE))*1*0.000001*('GW-1 Exp'!$U$27/(1+$B33)+2*$C33*(1+3*$B33+3*$B33^2)/(1+$B33)^2))</f>
        <v>4.0042931698206364E-8</v>
      </c>
      <c r="AD33" s="837">
        <f>L33*IF('GW-1 Exp'!U$28&lt;=$E33,2*(VLOOKUP(A33,[1]!TOX,67,FALSE))*1*0.000001*SQRT(6*$C33*'GW-1 Exp'!$U$28/PI()),(VLOOKUP(A33,[1]!TOX,67,FALSE))*1*0.000001*('GW-1 Exp'!$U$28/(1+$B33)+2*$C33*(1+3*$B33+3*$B33^2)/(1+$B33)^2))</f>
        <v>4.2180035967489369E-8</v>
      </c>
      <c r="AE33" s="839">
        <f>L33*IF('GW-1 Exp'!U$29&lt;=$E33,2*(VLOOKUP(A33,[1]!TOX,67,FALSE))*1*0.000001*SQRT(6*$C33*'GW-1 Exp'!$U$29/PI()),(VLOOKUP(A33,[1]!TOX,67,FALSE))*1*0.000001*('GW-1 Exp'!$U$29/(1+$B33)+2*$C33*(1+3*$B33+3*$B33^2)/(1+$B33)^2))</f>
        <v>4.8994365064493329E-8</v>
      </c>
    </row>
    <row r="34" spans="1:31" x14ac:dyDescent="0.25">
      <c r="A34" s="540" t="s">
        <v>186</v>
      </c>
      <c r="B34" s="587">
        <f>(VLOOKUP(A34,[1]!TOX,67,FALSE))*(SQRT((VLOOKUP(A34,[1]!TOX,57,FALSE)))/2.6)</f>
        <v>2.8615420535016159E-2</v>
      </c>
      <c r="C34" s="596">
        <f>('GW-1 Exp'!$O$29^2)/(6*D34)</f>
        <v>0.48780781039646454</v>
      </c>
      <c r="D34" s="486">
        <f>10^(-2.8-(0.0056*(VLOOKUP(A34,[1]!TOX,57,FALSE))))*'GW-1 Exp'!$O$29</f>
        <v>3.4166461281382264E-7</v>
      </c>
      <c r="E34" s="597">
        <f t="shared" si="0"/>
        <v>1.1707387449515148</v>
      </c>
      <c r="F34" s="597">
        <f>IF(B34&lt;=0.6,0,(G34-SQRT(G34^2-H34^2))*('GW-1 Exp'!$O$29^2/D34))</f>
        <v>0</v>
      </c>
      <c r="G34" s="582">
        <f t="shared" si="1"/>
        <v>0.32089971401057249</v>
      </c>
      <c r="H34" s="598">
        <f t="shared" si="2"/>
        <v>0.35267563456520812</v>
      </c>
      <c r="I34" s="606">
        <f>IF('GW-1 Exp'!$U$13&lt;=$E34,2*(VLOOKUP(A34,[1]!TOX,67,FALSE))*1*0.000001*SQRT(6*$C34*'GW-1 Exp'!$U$13/PI()),(VLOOKUP(A34,[1]!TOX,67,FALSE))*1*0.000001*('GW-1 Exp'!$U$13/(1+$B34)+2*$C34*(1+3*$B34+3*$B34^2)/(1+$B34)^2))</f>
        <v>1.0137481803325552E-8</v>
      </c>
      <c r="J34" s="607">
        <f>IF('GW-1 Exp'!$U$21&lt;=$E34,2*(VLOOKUP(A34,[1]!TOX,67,FALSE))*1*0.000001*SQRT(6*$C34*'GW-1 Exp'!$U$21/PI()),(VLOOKUP(A34,[1]!TOX,67,FALSE))*1*0.000001*('GW-1 Exp'!$U$21/(1+$B34)+2*$C34*(1+3*$B34+3*$B34^2)/(1+$B34)^2))</f>
        <v>1.1519759585140853E-8</v>
      </c>
      <c r="K34" s="482"/>
      <c r="L34" s="554">
        <v>1</v>
      </c>
      <c r="M34" s="481">
        <f t="shared" si="3"/>
        <v>1.0137481803325552E-8</v>
      </c>
      <c r="N34" s="483">
        <f t="shared" si="4"/>
        <v>1.1519759585140853E-8</v>
      </c>
      <c r="O34" s="486" t="str">
        <f>IF(VLOOKUP(A34,[1]!TOX,81,FALSE)="Y","Inorganic",IF(K34="*","Streamlined",IF($E34=0,"Reduced Steady State",IF('GW-1 Exp'!$U$13&lt;=$E34,"Non-Steady State","Steady State"))))</f>
        <v>Non-Steady State</v>
      </c>
      <c r="P34" s="485" t="str">
        <f>IF(VLOOKUP(A34,[1]!TOX,81,FALSE)="Y","Inorganic",IF(K34="*","Streamlined",IF($E34=0,0,IF('GW-1 Exp'!$U$21&lt;=$E34,"Non-Steady State","Steady State"))))</f>
        <v>Non-Steady State</v>
      </c>
      <c r="Q34" s="563">
        <f>IF(K34=0,0,IF((VLOOKUP(A34,[1]!TOX,67,FALSE))=0,0,IF((VLOOKUP(A34,[1]!TOX,67,FALSE))&lt;0.5,0.2,1)))</f>
        <v>0</v>
      </c>
      <c r="R34" s="614">
        <f>IF(K34=0,IF(M34=0,0,('[1]Target Risk'!$D$8*(VLOOKUP(A34,[1]!TOX,4,FALSE))*(VLOOKUP(A34,[1]!TOX,37,FALSE)))/('GW-1 Exp'!$V$13*'GW-1 Derm'!$M34)),('[1]Target Risk'!$D$8*(VLOOKUP(A34,[1]!TOX,4,FALSE))*(VLOOKUP(A34,[1]!TOX,37,FALSE)))/('GW-1 Exp'!$J$18*'GW-1 Derm'!$Q34))</f>
        <v>485.76724034357153</v>
      </c>
      <c r="S34" s="574">
        <f>IF(OR(VLOOKUP(A34,[1]!TOX,12,FALSE)=0,VLOOKUP(A34,[1]!TOX,38,FALSE)=0),0,IF(K34=0,('[1]Target Risk'!$D$12*(VLOOKUP(A34,[1]!TOX,38,FALSE)))/('GW-1 Exp'!$V$21*'GW-1 Derm'!N34*(VLOOKUP(A34,[1]!TOX,12,FALSE))),IF(Q34=0,0,('[1]Target Risk'!$D$12*(VLOOKUP(A34,[1]!TOX,38,FALSE)))/('GW-1 Exp'!$J$26*'GW-1 Derm'!Q34*(VLOOKUP(A34,[1]!TOX,12,FALSE))))))</f>
        <v>0</v>
      </c>
      <c r="T34" s="575">
        <f>IF(OR(VLOOKUP(A34,[1]!TOX,12,FALSE)=0,VLOOKUP(A34,[1]!TOX,38,FALSE)=0),0,IF(NOT(VLOOKUP(A34,[1]!TOX,36,FALSE)="M"), IF(K34=0,('[1]Target Risk'!$D$12*(VLOOKUP(A34,[1]!TOX,38,FALSE)))/('GW-1 Exp'!$V$21*'GW-1 Derm'!N34*(VLOOKUP(A34,[1]!TOX,12,FALSE))),IF(Q34=0,0,('[1]Target Risk'!$D$12*(VLOOKUP(A34,[1]!TOX,38,FALSE)))/('GW-1 Exp'!$J$26*'GW-1 Derm'!Q34*(VLOOKUP(A34,[1]!TOX,12,FALSE))))), IF(K34=0,('[1]Target Risk'!$D$12*(VLOOKUP(A34,[1]!TOX,38,FALSE)))/(('GW-1 Exp'!$V$26*'GW-1 Derm'!AB34*(VLOOKUP(A34,[1]!TOX,12,FALSE))*10)+('GW-1 Exp'!$V$27*'GW-1 Derm'!AC34*(VLOOKUP(A34,[1]!TOX,12,FALSE))*3)+('GW-1 Exp'!$V$28*'GW-1 Derm'!AD34*(VLOOKUP(A34,[1]!TOX,12,FALSE))*3)+('GW-1 Exp'!$V$29*'GW-1 Derm'!AE34*(VLOOKUP(A34,[1]!TOX,12,FALSE))*1)),IF(Q34=0,0,(('[1]Target Risk'!$D$12*(VLOOKUP(A34,[1]!TOX,38,FALSE)))/(('GW-1 Exp'!$J$33*'GW-1 Derm'!Q34*(VLOOKUP(A34,[1]!TOX,12,FALSE))*10)+('GW-1 Exp'!$J$34*'GW-1 Derm'!Q34*(VLOOKUP(A34,[1]!TOX,12,FALSE))*3)+('GW-1 Exp'!$J$35*'GW-1 Derm'!Q34*(VLOOKUP(A34,[1]!TOX,12,FALSE))*3)+('GW-1 Exp'!$J$36*'GW-1 Derm'!Q34*(VLOOKUP(A34,[1]!TOX,12,FALSE))*1)))))))</f>
        <v>0</v>
      </c>
      <c r="AB34" s="838">
        <f>L34*IF('GW-1 Exp'!U$26&lt;=$E34,2*(VLOOKUP(A34,[1]!TOX,67,FALSE))*1*0.000001*SQRT(6*$C34*'GW-1 Exp'!$U$26/PI()),(VLOOKUP(A34,[1]!TOX,67,FALSE))*1*0.000001*('GW-1 Exp'!$U$26/(1+$B34)+2*$C34*(1+3*$B34+3*$B34^2)/(1+$B34)^2))</f>
        <v>9.4636851030871887E-9</v>
      </c>
      <c r="AC34" s="837">
        <f>L34*IF('GW-1 Exp'!U$27&lt;=$E34,2*(VLOOKUP(A34,[1]!TOX,67,FALSE))*1*0.000001*SQRT(6*$C34*'GW-1 Exp'!$U$27/PI()),(VLOOKUP(A34,[1]!TOX,67,FALSE))*1*0.000001*('GW-1 Exp'!$U$27/(1+$B34)+2*$C34*(1+3*$B34+3*$B34^2)/(1+$B34)^2))</f>
        <v>1.0268945911541942E-8</v>
      </c>
      <c r="AD34" s="837">
        <f>L34*IF('GW-1 Exp'!U$28&lt;=$E34,2*(VLOOKUP(A34,[1]!TOX,67,FALSE))*1*0.000001*SQRT(6*$C34*'GW-1 Exp'!$U$28/PI()),(VLOOKUP(A34,[1]!TOX,67,FALSE))*1*0.000001*('GW-1 Exp'!$U$28/(1+$B34)+2*$C34*(1+3*$B34+3*$B34^2)/(1+$B34)^2))</f>
        <v>1.0817002889836954E-8</v>
      </c>
      <c r="AE34" s="839">
        <f>L34*IF('GW-1 Exp'!U$29&lt;=$E34,2*(VLOOKUP(A34,[1]!TOX,67,FALSE))*1*0.000001*SQRT(6*$C34*'GW-1 Exp'!$U$29/PI()),(VLOOKUP(A34,[1]!TOX,67,FALSE))*1*0.000001*('GW-1 Exp'!$U$29/(1+$B34)+2*$C34*(1+3*$B34+3*$B34^2)/(1+$B34)^2))</f>
        <v>1.2564526708721438E-8</v>
      </c>
    </row>
    <row r="35" spans="1:31" x14ac:dyDescent="0.25">
      <c r="A35" s="540" t="s">
        <v>187</v>
      </c>
      <c r="B35" s="587">
        <f>(VLOOKUP(A35,[1]!TOX,67,FALSE))*(SQRT((VLOOKUP(A35,[1]!TOX,57,FALSE)))/2.6)</f>
        <v>3.4428769982038414E-2</v>
      </c>
      <c r="C35" s="596">
        <f>('GW-1 Exp'!$O$29^2)/(6*D35)</f>
        <v>0.55494347534480093</v>
      </c>
      <c r="D35" s="486">
        <f>10^(-2.8-(0.0056*(VLOOKUP(A35,[1]!TOX,57,FALSE))))*'GW-1 Exp'!$O$29</f>
        <v>3.003308878676559E-7</v>
      </c>
      <c r="E35" s="597">
        <f t="shared" si="0"/>
        <v>1.3318643408275221</v>
      </c>
      <c r="F35" s="597">
        <f>IF(B35&lt;=0.6,0,(G35-SQRT(G35^2-H35^2))*('GW-1 Exp'!$O$29^2/D35))</f>
        <v>0</v>
      </c>
      <c r="G35" s="582">
        <f t="shared" si="1"/>
        <v>0.32454264525209092</v>
      </c>
      <c r="H35" s="598">
        <f t="shared" si="2"/>
        <v>0.35666780954309124</v>
      </c>
      <c r="I35" s="606">
        <f>IF('GW-1 Exp'!$U$13&lt;=$E35,2*(VLOOKUP(A35,[1]!TOX,67,FALSE))*1*0.000001*SQRT(6*$C35*'GW-1 Exp'!$U$13/PI()),(VLOOKUP(A35,[1]!TOX,67,FALSE))*1*0.000001*('GW-1 Exp'!$U$13/(1+$B35)+2*$C35*(1+3*$B35+3*$B35^2)/(1+$B35)^2))</f>
        <v>1.2494822404960093E-8</v>
      </c>
      <c r="J35" s="607">
        <f>IF('GW-1 Exp'!$U$21&lt;=$E35,2*(VLOOKUP(A35,[1]!TOX,67,FALSE))*1*0.000001*SQRT(6*$C35*'GW-1 Exp'!$U$21/PI()),(VLOOKUP(A35,[1]!TOX,67,FALSE))*1*0.000001*('GW-1 Exp'!$U$21/(1+$B35)+2*$C35*(1+3*$B35+3*$B35^2)/(1+$B35)^2))</f>
        <v>1.4198531051069682E-8</v>
      </c>
      <c r="K35" s="482"/>
      <c r="L35" s="554">
        <v>1</v>
      </c>
      <c r="M35" s="481">
        <f t="shared" si="3"/>
        <v>1.2494822404960093E-8</v>
      </c>
      <c r="N35" s="483">
        <f t="shared" si="4"/>
        <v>1.4198531051069682E-8</v>
      </c>
      <c r="O35" s="486" t="str">
        <f>IF(VLOOKUP(A35,[1]!TOX,81,FALSE)="Y","Inorganic",IF(K35="*","Streamlined",IF($E35=0,"Reduced Steady State",IF('GW-1 Exp'!$U$13&lt;=$E35,"Non-Steady State","Steady State"))))</f>
        <v>Non-Steady State</v>
      </c>
      <c r="P35" s="485" t="str">
        <f>IF(VLOOKUP(A35,[1]!TOX,81,FALSE)="Y","Inorganic",IF(K35="*","Streamlined",IF($E35=0,0,IF('GW-1 Exp'!$U$21&lt;=$E35,"Non-Steady State","Steady State"))))</f>
        <v>Non-Steady State</v>
      </c>
      <c r="Q35" s="563">
        <f>IF(K35=0,0,IF((VLOOKUP(A35,[1]!TOX,67,FALSE))=0,0,IF((VLOOKUP(A35,[1]!TOX,67,FALSE))&lt;0.5,0.2,1)))</f>
        <v>0</v>
      </c>
      <c r="R35" s="614">
        <f>IF(K35=0,IF(M35=0,0,('[1]Target Risk'!$D$8*(VLOOKUP(A35,[1]!TOX,4,FALSE))*(VLOOKUP(A35,[1]!TOX,37,FALSE)))/('GW-1 Exp'!$V$13*'GW-1 Derm'!$M35)),('[1]Target Risk'!$D$8*(VLOOKUP(A35,[1]!TOX,4,FALSE))*(VLOOKUP(A35,[1]!TOX,37,FALSE)))/('GW-1 Exp'!$J$18*'GW-1 Derm'!$Q35))</f>
        <v>197.05988608848716</v>
      </c>
      <c r="S35" s="574">
        <f>IF(OR(VLOOKUP(A35,[1]!TOX,12,FALSE)=0,VLOOKUP(A35,[1]!TOX,38,FALSE)=0),0,IF(K35=0,('[1]Target Risk'!$D$12*(VLOOKUP(A35,[1]!TOX,38,FALSE)))/('GW-1 Exp'!$V$21*'GW-1 Derm'!N35*(VLOOKUP(A35,[1]!TOX,12,FALSE))),IF(Q35=0,0,('[1]Target Risk'!$D$12*(VLOOKUP(A35,[1]!TOX,38,FALSE)))/('GW-1 Exp'!$J$26*'GW-1 Derm'!Q35*(VLOOKUP(A35,[1]!TOX,12,FALSE))))))</f>
        <v>0</v>
      </c>
      <c r="T35" s="575">
        <f>IF(OR(VLOOKUP(A35,[1]!TOX,12,FALSE)=0,VLOOKUP(A35,[1]!TOX,38,FALSE)=0),0,IF(NOT(VLOOKUP(A35,[1]!TOX,36,FALSE)="M"), IF(K35=0,('[1]Target Risk'!$D$12*(VLOOKUP(A35,[1]!TOX,38,FALSE)))/('GW-1 Exp'!$V$21*'GW-1 Derm'!N35*(VLOOKUP(A35,[1]!TOX,12,FALSE))),IF(Q35=0,0,('[1]Target Risk'!$D$12*(VLOOKUP(A35,[1]!TOX,38,FALSE)))/('GW-1 Exp'!$J$26*'GW-1 Derm'!Q35*(VLOOKUP(A35,[1]!TOX,12,FALSE))))), IF(K35=0,('[1]Target Risk'!$D$12*(VLOOKUP(A35,[1]!TOX,38,FALSE)))/(('GW-1 Exp'!$V$26*'GW-1 Derm'!AB35*(VLOOKUP(A35,[1]!TOX,12,FALSE))*10)+('GW-1 Exp'!$V$27*'GW-1 Derm'!AC35*(VLOOKUP(A35,[1]!TOX,12,FALSE))*3)+('GW-1 Exp'!$V$28*'GW-1 Derm'!AD35*(VLOOKUP(A35,[1]!TOX,12,FALSE))*3)+('GW-1 Exp'!$V$29*'GW-1 Derm'!AE35*(VLOOKUP(A35,[1]!TOX,12,FALSE))*1)),IF(Q35=0,0,(('[1]Target Risk'!$D$12*(VLOOKUP(A35,[1]!TOX,38,FALSE)))/(('GW-1 Exp'!$J$33*'GW-1 Derm'!Q35*(VLOOKUP(A35,[1]!TOX,12,FALSE))*10)+('GW-1 Exp'!$J$34*'GW-1 Derm'!Q35*(VLOOKUP(A35,[1]!TOX,12,FALSE))*3)+('GW-1 Exp'!$J$35*'GW-1 Derm'!Q35*(VLOOKUP(A35,[1]!TOX,12,FALSE))*3)+('GW-1 Exp'!$J$36*'GW-1 Derm'!Q35*(VLOOKUP(A35,[1]!TOX,12,FALSE))*1)))))))</f>
        <v>0</v>
      </c>
      <c r="AB35" s="838">
        <f>L35*IF('GW-1 Exp'!U$26&lt;=$E35,2*(VLOOKUP(A35,[1]!TOX,67,FALSE))*1*0.000001*SQRT(6*$C35*'GW-1 Exp'!$U$26/PI()),(VLOOKUP(A35,[1]!TOX,67,FALSE))*1*0.000001*('GW-1 Exp'!$U$26/(1+$B35)+2*$C35*(1+3*$B35+3*$B35^2)/(1+$B35)^2))</f>
        <v>1.1664342975269311E-8</v>
      </c>
      <c r="AC35" s="837">
        <f>L35*IF('GW-1 Exp'!U$27&lt;=$E35,2*(VLOOKUP(A35,[1]!TOX,67,FALSE))*1*0.000001*SQRT(6*$C35*'GW-1 Exp'!$U$27/PI()),(VLOOKUP(A35,[1]!TOX,67,FALSE))*1*0.000001*('GW-1 Exp'!$U$27/(1+$B35)+2*$C35*(1+3*$B35+3*$B35^2)/(1+$B35)^2))</f>
        <v>1.2656856795419015E-8</v>
      </c>
      <c r="AD35" s="837">
        <f>L35*IF('GW-1 Exp'!U$28&lt;=$E35,2*(VLOOKUP(A35,[1]!TOX,67,FALSE))*1*0.000001*SQRT(6*$C35*'GW-1 Exp'!$U$28/PI()),(VLOOKUP(A35,[1]!TOX,67,FALSE))*1*0.000001*('GW-1 Exp'!$U$28/(1+$B35)+2*$C35*(1+3*$B35+3*$B35^2)/(1+$B35)^2))</f>
        <v>1.3332357353096841E-8</v>
      </c>
      <c r="AE35" s="839">
        <f>L35*IF('GW-1 Exp'!U$29&lt;=$E35,2*(VLOOKUP(A35,[1]!TOX,67,FALSE))*1*0.000001*SQRT(6*$C35*'GW-1 Exp'!$U$29/PI()),(VLOOKUP(A35,[1]!TOX,67,FALSE))*1*0.000001*('GW-1 Exp'!$U$29/(1+$B35)+2*$C35*(1+3*$B35+3*$B35^2)/(1+$B35)^2))</f>
        <v>1.5486245289865953E-8</v>
      </c>
    </row>
    <row r="36" spans="1:31" x14ac:dyDescent="0.25">
      <c r="A36" s="541" t="s">
        <v>188</v>
      </c>
      <c r="B36" s="587">
        <f>(VLOOKUP(A36,[1]!TOX,67,FALSE))*(SQRT((VLOOKUP(A36,[1]!TOX,57,FALSE)))/2.6)</f>
        <v>5.5470019622522911E-3</v>
      </c>
      <c r="C36" s="596">
        <f>('GW-1 Exp'!$O$29^2)/(6*D36)</f>
        <v>0.20561213829438749</v>
      </c>
      <c r="D36" s="486">
        <f>10^(-2.8-(0.0056*(VLOOKUP(A36,[1]!TOX,57,FALSE))))*'GW-1 Exp'!$O$29</f>
        <v>8.1058768246473756E-7</v>
      </c>
      <c r="E36" s="597">
        <f t="shared" si="0"/>
        <v>0.49346913190652997</v>
      </c>
      <c r="F36" s="597">
        <f>IF(B36&lt;=0.6,0,(G36-SQRT(G36^2-H36^2))*('GW-1 Exp'!$O$29^2/D36))</f>
        <v>0</v>
      </c>
      <c r="G36" s="582">
        <f t="shared" si="1"/>
        <v>0.30666048844806176</v>
      </c>
      <c r="H36" s="598">
        <f t="shared" si="2"/>
        <v>0.33704153447327106</v>
      </c>
      <c r="I36" s="854">
        <f>(VLOOKUP(A36,[1]!TOX,67,FALSE))*1*0.000001*'GW-1 Exp'!$U$13</f>
        <v>1.1857142857142858E-9</v>
      </c>
      <c r="J36" s="855">
        <f>(VLOOKUP(A36,[1]!TOX,67,FALSE))*1*0.000001*'GW-1 Exp'!$U$21</f>
        <v>1.5311111111111113E-9</v>
      </c>
      <c r="K36" s="482"/>
      <c r="L36" s="554">
        <v>1</v>
      </c>
      <c r="M36" s="481">
        <f t="shared" si="3"/>
        <v>1.1857142857142858E-9</v>
      </c>
      <c r="N36" s="483">
        <f t="shared" si="4"/>
        <v>1.5311111111111113E-9</v>
      </c>
      <c r="O36" s="486" t="str">
        <f>IF(VLOOKUP(A36,[1]!TOX,81,FALSE)="Y","Inorganic",IF(K36="*","Streamlined",IF($E36=0,"Reduced Steady State",IF('GW-1 Exp'!$U$13&lt;=$E36,"Non-Steady State","Steady State"))))</f>
        <v>Inorganic</v>
      </c>
      <c r="P36" s="485" t="str">
        <f>IF(VLOOKUP(A36,[1]!TOX,81,FALSE)="Y","Inorganic",IF(K36="*","Streamlined",IF($E36=0,0,IF('GW-1 Exp'!$U$21&lt;=$E36,"Non-Steady State","Steady State"))))</f>
        <v>Inorganic</v>
      </c>
      <c r="Q36" s="563">
        <f>IF(K36=0,0,IF((VLOOKUP(A36,[1]!TOX,67,FALSE))=0,0,IF((VLOOKUP(A36,[1]!TOX,67,FALSE))&lt;0.5,0.2,1)))</f>
        <v>0</v>
      </c>
      <c r="R36" s="614">
        <f>IF(K36=0,IF(M36=0,0,('[1]Target Risk'!$D$8*(VLOOKUP(A36,[1]!TOX,4,FALSE))*(VLOOKUP(A36,[1]!TOX,37,FALSE)))/('GW-1 Exp'!$V$13*'GW-1 Derm'!$M36)),('[1]Target Risk'!$D$8*(VLOOKUP(A36,[1]!TOX,4,FALSE))*(VLOOKUP(A36,[1]!TOX,37,FALSE)))/('GW-1 Exp'!$J$18*'GW-1 Derm'!$Q36))</f>
        <v>137.05415244284322</v>
      </c>
      <c r="S36" s="574">
        <f>IF(OR(VLOOKUP(A36,[1]!TOX,12,FALSE)=0,VLOOKUP(A36,[1]!TOX,38,FALSE)=0),0,IF(K36=0,('[1]Target Risk'!$D$12*(VLOOKUP(A36,[1]!TOX,38,FALSE)))/('GW-1 Exp'!$V$21*'GW-1 Derm'!N36*(VLOOKUP(A36,[1]!TOX,12,FALSE))),IF(Q36=0,0,('[1]Target Risk'!$D$12*(VLOOKUP(A36,[1]!TOX,38,FALSE)))/('GW-1 Exp'!$J$26*'GW-1 Derm'!Q36*(VLOOKUP(A36,[1]!TOX,12,FALSE))))))</f>
        <v>0</v>
      </c>
      <c r="T36" s="575">
        <f>IF(OR(VLOOKUP(A36,[1]!TOX,12,FALSE)=0,VLOOKUP(A36,[1]!TOX,38,FALSE)=0),0,IF(NOT(VLOOKUP(A36,[1]!TOX,36,FALSE)="M"), IF(K36=0,('[1]Target Risk'!$D$12*(VLOOKUP(A36,[1]!TOX,38,FALSE)))/('GW-1 Exp'!$V$21*'GW-1 Derm'!N36*(VLOOKUP(A36,[1]!TOX,12,FALSE))),IF(Q36=0,0,('[1]Target Risk'!$D$12*(VLOOKUP(A36,[1]!TOX,38,FALSE)))/('GW-1 Exp'!$J$26*'GW-1 Derm'!Q36*(VLOOKUP(A36,[1]!TOX,12,FALSE))))), IF(K36=0,('[1]Target Risk'!$D$12*(VLOOKUP(A36,[1]!TOX,38,FALSE)))/(('GW-1 Exp'!$V$26*'GW-1 Derm'!AB36*(VLOOKUP(A36,[1]!TOX,12,FALSE))*10)+('GW-1 Exp'!$V$27*'GW-1 Derm'!AC36*(VLOOKUP(A36,[1]!TOX,12,FALSE))*3)+('GW-1 Exp'!$V$28*'GW-1 Derm'!AD36*(VLOOKUP(A36,[1]!TOX,12,FALSE))*3)+('GW-1 Exp'!$V$29*'GW-1 Derm'!AE36*(VLOOKUP(A36,[1]!TOX,12,FALSE))*1)),IF(Q36=0,0,(('[1]Target Risk'!$D$12*(VLOOKUP(A36,[1]!TOX,38,FALSE)))/(('GW-1 Exp'!$J$33*'GW-1 Derm'!Q36*(VLOOKUP(A36,[1]!TOX,12,FALSE))*10)+('GW-1 Exp'!$J$34*'GW-1 Derm'!Q36*(VLOOKUP(A36,[1]!TOX,12,FALSE))*3)+('GW-1 Exp'!$J$35*'GW-1 Derm'!Q36*(VLOOKUP(A36,[1]!TOX,12,FALSE))*3)+('GW-1 Exp'!$J$36*'GW-1 Derm'!Q36*(VLOOKUP(A36,[1]!TOX,12,FALSE))*1)))))))</f>
        <v>0</v>
      </c>
      <c r="AB36" s="838">
        <f>L36*IF('GW-1 Exp'!U$26&lt;=$E36,2*(VLOOKUP(A36,[1]!TOX,67,FALSE))*1*0.000001*SQRT(6*$C36*'GW-1 Exp'!$U$26/PI()),(VLOOKUP(A36,[1]!TOX,67,FALSE))*1*0.000001*('GW-1 Exp'!$U$26/(1+$B36)+2*$C36*(1+3*$B36+3*$B36^2)/(1+$B36)^2))</f>
        <v>1.8546435888714343E-9</v>
      </c>
      <c r="AC36" s="837">
        <f>L36*IF('GW-1 Exp'!U$27&lt;=$E36,2*(VLOOKUP(A36,[1]!TOX,67,FALSE))*1*0.000001*SQRT(6*$C36*'GW-1 Exp'!$U$27/PI()),(VLOOKUP(A36,[1]!TOX,67,FALSE))*1*0.000001*('GW-1 Exp'!$U$27/(1+$B36)+2*$C36*(1+3*$B36+3*$B36^2)/(1+$B36)^2))</f>
        <v>2.0369655817524942E-9</v>
      </c>
      <c r="AD36" s="837">
        <f>L36*IF('GW-1 Exp'!U$28&lt;=$E36,2*(VLOOKUP(A36,[1]!TOX,67,FALSE))*1*0.000001*SQRT(6*$C36*'GW-1 Exp'!$U$28/PI()),(VLOOKUP(A36,[1]!TOX,67,FALSE))*1*0.000001*('GW-1 Exp'!$U$28/(1+$B36)+2*$C36*(1+3*$B36+3*$B36^2)/(1+$B36)^2))</f>
        <v>2.169563394756902E-9</v>
      </c>
      <c r="AE36" s="839">
        <f>L36*IF('GW-1 Exp'!U$29&lt;=$E36,2*(VLOOKUP(A36,[1]!TOX,67,FALSE))*1*0.000001*SQRT(6*$C36*'GW-1 Exp'!$U$29/PI()),(VLOOKUP(A36,[1]!TOX,67,FALSE))*1*0.000001*('GW-1 Exp'!$U$29/(1+$B36)+2*$C36*(1+3*$B36+3*$B36^2)/(1+$B36)^2))</f>
        <v>2.6383913764510577E-9</v>
      </c>
    </row>
    <row r="37" spans="1:31" x14ac:dyDescent="0.25">
      <c r="A37" s="541" t="s">
        <v>189</v>
      </c>
      <c r="B37" s="587">
        <f>(VLOOKUP(A37,[1]!TOX,67,FALSE))*(SQRT((VLOOKUP(A37,[1]!TOX,57,FALSE)))/2.6)</f>
        <v>2.7735009811261455E-3</v>
      </c>
      <c r="C37" s="596">
        <f>('GW-1 Exp'!$O$29^2)/(6*D37)</f>
        <v>0.20561213829438749</v>
      </c>
      <c r="D37" s="486">
        <f>10^(-2.8-(0.0056*(VLOOKUP(A37,[1]!TOX,57,FALSE))))*'GW-1 Exp'!$O$29</f>
        <v>8.1058768246473756E-7</v>
      </c>
      <c r="E37" s="597">
        <f t="shared" si="0"/>
        <v>0.49346913190652997</v>
      </c>
      <c r="F37" s="597">
        <f>IF(B37&lt;=0.6,0,(G37-SQRT(G37^2-H37^2))*('GW-1 Exp'!$O$29^2/D37))</f>
        <v>0</v>
      </c>
      <c r="G37" s="582">
        <f t="shared" si="1"/>
        <v>0.30497110957117501</v>
      </c>
      <c r="H37" s="598">
        <f t="shared" si="2"/>
        <v>0.33518489099810989</v>
      </c>
      <c r="I37" s="854">
        <f>(VLOOKUP(A37,[1]!TOX,67,FALSE))*1*0.000001*'GW-1 Exp'!$U$13</f>
        <v>5.9285714285714288E-10</v>
      </c>
      <c r="J37" s="855">
        <f>(VLOOKUP(A37,[1]!TOX,67,FALSE))*1*0.000001*'GW-1 Exp'!$U$21</f>
        <v>7.6555555555555563E-10</v>
      </c>
      <c r="K37" s="482"/>
      <c r="L37" s="554">
        <v>1</v>
      </c>
      <c r="M37" s="481">
        <f t="shared" si="3"/>
        <v>5.9285714285714288E-10</v>
      </c>
      <c r="N37" s="483">
        <f t="shared" si="4"/>
        <v>7.6555555555555563E-10</v>
      </c>
      <c r="O37" s="486" t="str">
        <f>IF(VLOOKUP(A37,[1]!TOX,81,FALSE)="Y","Inorganic",IF(K37="*","Streamlined",IF($E37=0,"Reduced Steady State",IF('GW-1 Exp'!$U$13&lt;=$E37,"Non-Steady State","Steady State"))))</f>
        <v>Inorganic</v>
      </c>
      <c r="P37" s="485" t="str">
        <f>IF(VLOOKUP(A37,[1]!TOX,81,FALSE)="Y","Inorganic",IF(K37="*","Streamlined",IF($E37=0,0,IF('GW-1 Exp'!$U$21&lt;=$E37,"Non-Steady State","Steady State"))))</f>
        <v>Inorganic</v>
      </c>
      <c r="Q37" s="563">
        <f>IF(K37=0,0,IF((VLOOKUP(A37,[1]!TOX,67,FALSE))=0,0,IF((VLOOKUP(A37,[1]!TOX,67,FALSE))&lt;0.5,0.2,1)))</f>
        <v>0</v>
      </c>
      <c r="R37" s="614">
        <f>IF(K37=0,IF(M37=0,0,('[1]Target Risk'!$D$8*(VLOOKUP(A37,[1]!TOX,4,FALSE))*(VLOOKUP(A37,[1]!TOX,37,FALSE)))/('GW-1 Exp'!$V$13*'GW-1 Derm'!$M37)),('[1]Target Risk'!$D$8*(VLOOKUP(A37,[1]!TOX,4,FALSE))*(VLOOKUP(A37,[1]!TOX,37,FALSE)))/('GW-1 Exp'!$J$18*'GW-1 Derm'!$Q37))</f>
        <v>311486.71009737096</v>
      </c>
      <c r="S37" s="574">
        <f>IF(OR(VLOOKUP(A37,[1]!TOX,12,FALSE)=0,VLOOKUP(A37,[1]!TOX,38,FALSE)=0),0,IF(K37=0,('[1]Target Risk'!$D$12*(VLOOKUP(A37,[1]!TOX,38,FALSE)))/('GW-1 Exp'!$V$21*'GW-1 Derm'!N37*(VLOOKUP(A37,[1]!TOX,12,FALSE))),IF(Q37=0,0,('[1]Target Risk'!$D$12*(VLOOKUP(A37,[1]!TOX,38,FALSE)))/('GW-1 Exp'!$J$26*'GW-1 Derm'!Q37*(VLOOKUP(A37,[1]!TOX,12,FALSE))))))</f>
        <v>0</v>
      </c>
      <c r="T37" s="575">
        <f>IF(OR(VLOOKUP(A37,[1]!TOX,12,FALSE)=0,VLOOKUP(A37,[1]!TOX,38,FALSE)=0),0,IF(NOT(VLOOKUP(A37,[1]!TOX,36,FALSE)="M"), IF(K37=0,('[1]Target Risk'!$D$12*(VLOOKUP(A37,[1]!TOX,38,FALSE)))/('GW-1 Exp'!$V$21*'GW-1 Derm'!N37*(VLOOKUP(A37,[1]!TOX,12,FALSE))),IF(Q37=0,0,('[1]Target Risk'!$D$12*(VLOOKUP(A37,[1]!TOX,38,FALSE)))/('GW-1 Exp'!$J$26*'GW-1 Derm'!Q37*(VLOOKUP(A37,[1]!TOX,12,FALSE))))), IF(K37=0,('[1]Target Risk'!$D$12*(VLOOKUP(A37,[1]!TOX,38,FALSE)))/(('GW-1 Exp'!$V$26*'GW-1 Derm'!AB37*(VLOOKUP(A37,[1]!TOX,12,FALSE))*10)+('GW-1 Exp'!$V$27*'GW-1 Derm'!AC37*(VLOOKUP(A37,[1]!TOX,12,FALSE))*3)+('GW-1 Exp'!$V$28*'GW-1 Derm'!AD37*(VLOOKUP(A37,[1]!TOX,12,FALSE))*3)+('GW-1 Exp'!$V$29*'GW-1 Derm'!AE37*(VLOOKUP(A37,[1]!TOX,12,FALSE))*1)),IF(Q37=0,0,(('[1]Target Risk'!$D$12*(VLOOKUP(A37,[1]!TOX,38,FALSE)))/(('GW-1 Exp'!$J$33*'GW-1 Derm'!Q37*(VLOOKUP(A37,[1]!TOX,12,FALSE))*10)+('GW-1 Exp'!$J$34*'GW-1 Derm'!Q37*(VLOOKUP(A37,[1]!TOX,12,FALSE))*3)+('GW-1 Exp'!$J$35*'GW-1 Derm'!Q37*(VLOOKUP(A37,[1]!TOX,12,FALSE))*3)+('GW-1 Exp'!$J$36*'GW-1 Derm'!Q37*(VLOOKUP(A37,[1]!TOX,12,FALSE))*1)))))))</f>
        <v>0</v>
      </c>
      <c r="AB37" s="838">
        <f>L37*IF('GW-1 Exp'!U$26&lt;=$E37,2*(VLOOKUP(A37,[1]!TOX,67,FALSE))*1*0.000001*SQRT(6*$C37*'GW-1 Exp'!$U$26/PI()),(VLOOKUP(A37,[1]!TOX,67,FALSE))*1*0.000001*('GW-1 Exp'!$U$26/(1+$B37)+2*$C37*(1+3*$B37+3*$B37^2)/(1+$B37)^2))</f>
        <v>9.276024533248308E-10</v>
      </c>
      <c r="AC37" s="837">
        <f>L37*IF('GW-1 Exp'!U$27&lt;=$E37,2*(VLOOKUP(A37,[1]!TOX,67,FALSE))*1*0.000001*SQRT(6*$C37*'GW-1 Exp'!$U$27/PI()),(VLOOKUP(A37,[1]!TOX,67,FALSE))*1*0.000001*('GW-1 Exp'!$U$27/(1+$B37)+2*$C37*(1+3*$B37+3*$B37^2)/(1+$B37)^2))</f>
        <v>1.0190155855795012E-9</v>
      </c>
      <c r="AD37" s="837">
        <f>L37*IF('GW-1 Exp'!U$28&lt;=$E37,2*(VLOOKUP(A37,[1]!TOX,67,FALSE))*1*0.000001*SQRT(6*$C37*'GW-1 Exp'!$U$28/PI()),(VLOOKUP(A37,[1]!TOX,67,FALSE))*1*0.000001*('GW-1 Exp'!$U$28/(1+$B37)+2*$C37*(1+3*$B37+3*$B37^2)/(1+$B37)^2))</f>
        <v>1.0854978635828981E-9</v>
      </c>
      <c r="AE37" s="839">
        <f>L37*IF('GW-1 Exp'!U$29&lt;=$E37,2*(VLOOKUP(A37,[1]!TOX,67,FALSE))*1*0.000001*SQRT(6*$C37*'GW-1 Exp'!$U$29/PI()),(VLOOKUP(A37,[1]!TOX,67,FALSE))*1*0.000001*('GW-1 Exp'!$U$29/(1+$B37)+2*$C37*(1+3*$B37+3*$B37^2)/(1+$B37)^2))</f>
        <v>1.3205602036663367E-9</v>
      </c>
    </row>
    <row r="38" spans="1:31" x14ac:dyDescent="0.25">
      <c r="A38" s="541" t="s">
        <v>190</v>
      </c>
      <c r="B38" s="587">
        <f>(VLOOKUP(A38,[1]!TOX,67,FALSE))*(SQRT((VLOOKUP(A38,[1]!TOX,57,FALSE)))/2.6)</f>
        <v>5.5470019622522911E-3</v>
      </c>
      <c r="C38" s="596">
        <f>('GW-1 Exp'!$O$29^2)/(6*D38)</f>
        <v>0.20561213829438749</v>
      </c>
      <c r="D38" s="486">
        <f>10^(-2.8-(0.0056*(VLOOKUP(A38,[1]!TOX,57,FALSE))))*'GW-1 Exp'!$O$29</f>
        <v>8.1058768246473756E-7</v>
      </c>
      <c r="E38" s="597">
        <f t="shared" si="0"/>
        <v>0.49346913190652997</v>
      </c>
      <c r="F38" s="597">
        <f>IF(B38&lt;=0.6,0,(G38-SQRT(G38^2-H38^2))*('GW-1 Exp'!$O$29^2/D38))</f>
        <v>0</v>
      </c>
      <c r="G38" s="582">
        <f t="shared" si="1"/>
        <v>0.30666048844806176</v>
      </c>
      <c r="H38" s="598">
        <f t="shared" si="2"/>
        <v>0.33704153447327106</v>
      </c>
      <c r="I38" s="854">
        <f>(VLOOKUP(A38,[1]!TOX,67,FALSE))*1*0.000001*'GW-1 Exp'!$U$13</f>
        <v>1.1857142857142858E-9</v>
      </c>
      <c r="J38" s="855">
        <f>(VLOOKUP(A38,[1]!TOX,67,FALSE))*1*0.000001*'GW-1 Exp'!$U$21</f>
        <v>1.5311111111111113E-9</v>
      </c>
      <c r="K38" s="482"/>
      <c r="L38" s="554">
        <v>1</v>
      </c>
      <c r="M38" s="481">
        <f t="shared" si="3"/>
        <v>1.1857142857142858E-9</v>
      </c>
      <c r="N38" s="483">
        <f t="shared" si="4"/>
        <v>1.5311111111111113E-9</v>
      </c>
      <c r="O38" s="486" t="str">
        <f>IF(VLOOKUP(A38,[1]!TOX,81,FALSE)="Y","Inorganic",IF(K38="*","Streamlined",IF($E38=0,"Reduced Steady State",IF('GW-1 Exp'!$U$13&lt;=$E38,"Non-Steady State","Steady State"))))</f>
        <v>Inorganic</v>
      </c>
      <c r="P38" s="485" t="str">
        <f>IF(VLOOKUP(A38,[1]!TOX,81,FALSE)="Y","Inorganic",IF(K38="*","Streamlined",IF($E38=0,0,IF('GW-1 Exp'!$U$21&lt;=$E38,"Non-Steady State","Steady State"))))</f>
        <v>Inorganic</v>
      </c>
      <c r="Q38" s="563">
        <f>IF(K38=0,0,IF((VLOOKUP(A38,[1]!TOX,67,FALSE))=0,0,IF((VLOOKUP(A38,[1]!TOX,67,FALSE))&lt;0.5,0.2,1)))</f>
        <v>0</v>
      </c>
      <c r="R38" s="614">
        <f>IF(K38=0,IF(M38=0,0,('[1]Target Risk'!$D$8*(VLOOKUP(A38,[1]!TOX,4,FALSE))*(VLOOKUP(A38,[1]!TOX,37,FALSE)))/('GW-1 Exp'!$V$13*'GW-1 Derm'!$M38)),('[1]Target Risk'!$D$8*(VLOOKUP(A38,[1]!TOX,4,FALSE))*(VLOOKUP(A38,[1]!TOX,37,FALSE)))/('GW-1 Exp'!$J$18*'GW-1 Derm'!$Q38))</f>
        <v>137.05415244284322</v>
      </c>
      <c r="S38" s="574">
        <f>IF(OR(VLOOKUP(A38,[1]!TOX,12,FALSE)=0,VLOOKUP(A38,[1]!TOX,38,FALSE)=0),0,IF(K38=0,('[1]Target Risk'!$D$12*(VLOOKUP(A38,[1]!TOX,38,FALSE)))/('GW-1 Exp'!$V$21*'GW-1 Derm'!N38*(VLOOKUP(A38,[1]!TOX,12,FALSE))),IF(Q38=0,0,('[1]Target Risk'!$D$12*(VLOOKUP(A38,[1]!TOX,38,FALSE)))/('GW-1 Exp'!$J$26*'GW-1 Derm'!Q38*(VLOOKUP(A38,[1]!TOX,12,FALSE))))))</f>
        <v>0</v>
      </c>
      <c r="T38" s="575">
        <f>IF(OR(VLOOKUP(A38,[1]!TOX,12,FALSE)=0,VLOOKUP(A38,[1]!TOX,38,FALSE)=0),0,IF(NOT(VLOOKUP(A38,[1]!TOX,36,FALSE)="M"), IF(K38=0,('[1]Target Risk'!$D$12*(VLOOKUP(A38,[1]!TOX,38,FALSE)))/('GW-1 Exp'!$V$21*'GW-1 Derm'!N38*(VLOOKUP(A38,[1]!TOX,12,FALSE))),IF(Q38=0,0,('[1]Target Risk'!$D$12*(VLOOKUP(A38,[1]!TOX,38,FALSE)))/('GW-1 Exp'!$J$26*'GW-1 Derm'!Q38*(VLOOKUP(A38,[1]!TOX,12,FALSE))))), IF(K38=0,('[1]Target Risk'!$D$12*(VLOOKUP(A38,[1]!TOX,38,FALSE)))/(('GW-1 Exp'!$V$26*'GW-1 Derm'!AB38*(VLOOKUP(A38,[1]!TOX,12,FALSE))*10)+('GW-1 Exp'!$V$27*'GW-1 Derm'!AC38*(VLOOKUP(A38,[1]!TOX,12,FALSE))*3)+('GW-1 Exp'!$V$28*'GW-1 Derm'!AD38*(VLOOKUP(A38,[1]!TOX,12,FALSE))*3)+('GW-1 Exp'!$V$29*'GW-1 Derm'!AE38*(VLOOKUP(A38,[1]!TOX,12,FALSE))*1)),IF(Q38=0,0,(('[1]Target Risk'!$D$12*(VLOOKUP(A38,[1]!TOX,38,FALSE)))/(('GW-1 Exp'!$J$33*'GW-1 Derm'!Q38*(VLOOKUP(A38,[1]!TOX,12,FALSE))*10)+('GW-1 Exp'!$J$34*'GW-1 Derm'!Q38*(VLOOKUP(A38,[1]!TOX,12,FALSE))*3)+('GW-1 Exp'!$J$35*'GW-1 Derm'!Q38*(VLOOKUP(A38,[1]!TOX,12,FALSE))*3)+('GW-1 Exp'!$J$36*'GW-1 Derm'!Q38*(VLOOKUP(A38,[1]!TOX,12,FALSE))*1)))))))</f>
        <v>0</v>
      </c>
      <c r="AB38" s="838">
        <f>L38*IF('GW-1 Exp'!U$26&lt;=$E38,2*(VLOOKUP(A38,[1]!TOX,67,FALSE))*1*0.000001*SQRT(6*$C38*'GW-1 Exp'!$U$26/PI()),(VLOOKUP(A38,[1]!TOX,67,FALSE))*1*0.000001*('GW-1 Exp'!$U$26/(1+$B38)+2*$C38*(1+3*$B38+3*$B38^2)/(1+$B38)^2))</f>
        <v>1.8546435888714343E-9</v>
      </c>
      <c r="AC38" s="837">
        <f>L38*IF('GW-1 Exp'!U$27&lt;=$E38,2*(VLOOKUP(A38,[1]!TOX,67,FALSE))*1*0.000001*SQRT(6*$C38*'GW-1 Exp'!$U$27/PI()),(VLOOKUP(A38,[1]!TOX,67,FALSE))*1*0.000001*('GW-1 Exp'!$U$27/(1+$B38)+2*$C38*(1+3*$B38+3*$B38^2)/(1+$B38)^2))</f>
        <v>2.0369655817524942E-9</v>
      </c>
      <c r="AD38" s="837">
        <f>L38*IF('GW-1 Exp'!U$28&lt;=$E38,2*(VLOOKUP(A38,[1]!TOX,67,FALSE))*1*0.000001*SQRT(6*$C38*'GW-1 Exp'!$U$28/PI()),(VLOOKUP(A38,[1]!TOX,67,FALSE))*1*0.000001*('GW-1 Exp'!$U$28/(1+$B38)+2*$C38*(1+3*$B38+3*$B38^2)/(1+$B38)^2))</f>
        <v>2.169563394756902E-9</v>
      </c>
      <c r="AE38" s="839">
        <f>L38*IF('GW-1 Exp'!U$29&lt;=$E38,2*(VLOOKUP(A38,[1]!TOX,67,FALSE))*1*0.000001*SQRT(6*$C38*'GW-1 Exp'!$U$29/PI()),(VLOOKUP(A38,[1]!TOX,67,FALSE))*1*0.000001*('GW-1 Exp'!$U$29/(1+$B38)+2*$C38*(1+3*$B38+3*$B38^2)/(1+$B38)^2))</f>
        <v>2.6383913764510577E-9</v>
      </c>
    </row>
    <row r="39" spans="1:31" x14ac:dyDescent="0.25">
      <c r="A39" s="540" t="s">
        <v>191</v>
      </c>
      <c r="B39" s="587">
        <f>(VLOOKUP(A39,[1]!TOX,67,FALSE))*(SQRT((VLOOKUP(A39,[1]!TOX,57,FALSE)))/2.6)</f>
        <v>3.3250185728994128</v>
      </c>
      <c r="C39" s="596">
        <f>('GW-1 Exp'!$O$29^2)/(6*D39)</f>
        <v>1.9890639653513249</v>
      </c>
      <c r="D39" s="486">
        <f>10^(-2.8-(0.0056*(VLOOKUP(A39,[1]!TOX,57,FALSE))))*'GW-1 Exp'!$O$29</f>
        <v>8.3791506743840996E-8</v>
      </c>
      <c r="E39" s="597">
        <f t="shared" si="0"/>
        <v>8.4728374320800182</v>
      </c>
      <c r="F39" s="597">
        <f>IF(B39&lt;=0.6,0,(G39-SQRT(G39^2-H39^2))*('GW-1 Exp'!$O$29^2/D39))</f>
        <v>8.4728374320800182</v>
      </c>
      <c r="G39" s="582">
        <f t="shared" si="1"/>
        <v>8.5063834733548784</v>
      </c>
      <c r="H39" s="598">
        <f t="shared" si="2"/>
        <v>3.4020895328767868</v>
      </c>
      <c r="I39" s="606">
        <f>IF('GW-1 Exp'!$U$13&lt;=$E39,2*(VLOOKUP(A39,[1]!TOX,67,FALSE))*1*0.000001*SQRT(6*$C39*'GW-1 Exp'!$U$13/PI()),(VLOOKUP(A39,[1]!TOX,67,FALSE))*1*0.000001*('GW-1 Exp'!$U$13/(1+$B39)+2*$C39*(1+3*$B39+3*$B39^2)/(1+$B39)^2))</f>
        <v>1.7184230429384607E-6</v>
      </c>
      <c r="J39" s="607">
        <f>IF('GW-1 Exp'!$U$21&lt;=$E39,2*(VLOOKUP(A39,[1]!TOX,67,FALSE))*1*0.000001*SQRT(6*$C39*'GW-1 Exp'!$U$21/PI()),(VLOOKUP(A39,[1]!TOX,67,FALSE))*1*0.000001*('GW-1 Exp'!$U$21/(1+$B39)+2*$C39*(1+3*$B39+3*$B39^2)/(1+$B39)^2))</f>
        <v>1.9527354726026066E-6</v>
      </c>
      <c r="K39" s="482" t="s">
        <v>91</v>
      </c>
      <c r="L39" s="554">
        <v>1</v>
      </c>
      <c r="M39" s="481">
        <f t="shared" si="3"/>
        <v>1.7184230429384607E-6</v>
      </c>
      <c r="N39" s="483">
        <f t="shared" si="4"/>
        <v>1.9527354726026066E-6</v>
      </c>
      <c r="O39" s="486" t="str">
        <f>IF(VLOOKUP(A39,[1]!TOX,81,FALSE)="Y","Inorganic",IF(K39="*","Streamlined",IF($E39=0,"Reduced Steady State",IF('GW-1 Exp'!$U$13&lt;=$E39,"Non-Steady State","Steady State"))))</f>
        <v>Streamlined</v>
      </c>
      <c r="P39" s="485" t="str">
        <f>IF(VLOOKUP(A39,[1]!TOX,81,FALSE)="Y","Inorganic",IF(K39="*","Streamlined",IF($E39=0,0,IF('GW-1 Exp'!$U$21&lt;=$E39,"Non-Steady State","Steady State"))))</f>
        <v>Streamlined</v>
      </c>
      <c r="Q39" s="563">
        <f>IF(K39=0,0,IF((VLOOKUP(A39,[1]!TOX,67,FALSE))=0,0,IF((VLOOKUP(A39,[1]!TOX,67,FALSE))&lt;0.5,0.2,1)))</f>
        <v>1</v>
      </c>
      <c r="R39" s="614">
        <f>IF(K39=0,IF(M39=0,0,('[1]Target Risk'!$D$8*(VLOOKUP(A39,[1]!TOX,4,FALSE))*(VLOOKUP(A39,[1]!TOX,37,FALSE)))/('GW-1 Exp'!$V$13*'GW-1 Derm'!$M39)),('[1]Target Risk'!$D$8*(VLOOKUP(A39,[1]!TOX,4,FALSE))*(VLOOKUP(A39,[1]!TOX,37,FALSE)))/('GW-1 Exp'!$J$18*'GW-1 Derm'!$Q39))</f>
        <v>89.531291208791231</v>
      </c>
      <c r="S39" s="757">
        <f>IF(OR(VLOOKUP(A39,[1]!TOX,12,FALSE)=0,VLOOKUP(A39,[1]!TOX,38,FALSE)=0),0,IF(K39=0,('[1]Target Risk'!$D$12*(VLOOKUP(A39,[1]!TOX,38,FALSE)))/('GW-1 Exp'!$V$21*'GW-1 Derm'!N39*(VLOOKUP(A39,[1]!TOX,12,FALSE))),IF(Q39=0,0,('[1]Target Risk'!$D$12*(VLOOKUP(A39,[1]!TOX,38,FALSE)))/('GW-1 Exp'!$J$26*'GW-1 Derm'!Q39*(VLOOKUP(A39,[1]!TOX,12,FALSE))))))</f>
        <v>5.0841242809851979</v>
      </c>
      <c r="T39" s="575">
        <f>IF(OR(VLOOKUP(A39,[1]!TOX,12,FALSE)=0,VLOOKUP(A39,[1]!TOX,38,FALSE)=0),0,IF(NOT(VLOOKUP(A39,[1]!TOX,36,FALSE)="M"), IF(K39=0,('[1]Target Risk'!$D$12*(VLOOKUP(A39,[1]!TOX,38,FALSE)))/('GW-1 Exp'!$V$21*'GW-1 Derm'!N39*(VLOOKUP(A39,[1]!TOX,12,FALSE))),IF(Q39=0,0,('[1]Target Risk'!$D$12*(VLOOKUP(A39,[1]!TOX,38,FALSE)))/('GW-1 Exp'!$J$26*'GW-1 Derm'!Q39*(VLOOKUP(A39,[1]!TOX,12,FALSE))))), IF(K39=0,('[1]Target Risk'!$D$12*(VLOOKUP(A39,[1]!TOX,38,FALSE)))/(('GW-1 Exp'!$V$26*'GW-1 Derm'!AB39*(VLOOKUP(A39,[1]!TOX,12,FALSE))*10)+('GW-1 Exp'!$V$27*'GW-1 Derm'!AC39*(VLOOKUP(A39,[1]!TOX,12,FALSE))*3)+('GW-1 Exp'!$V$28*'GW-1 Derm'!AD39*(VLOOKUP(A39,[1]!TOX,12,FALSE))*3)+('GW-1 Exp'!$V$29*'GW-1 Derm'!AE39*(VLOOKUP(A39,[1]!TOX,12,FALSE))*1)),IF(Q39=0,0,(('[1]Target Risk'!$D$12*(VLOOKUP(A39,[1]!TOX,38,FALSE)))/(('GW-1 Exp'!$J$33*'GW-1 Derm'!Q39*(VLOOKUP(A39,[1]!TOX,12,FALSE))*10)+('GW-1 Exp'!$J$34*'GW-1 Derm'!Q39*(VLOOKUP(A39,[1]!TOX,12,FALSE))*3)+('GW-1 Exp'!$J$35*'GW-1 Derm'!Q39*(VLOOKUP(A39,[1]!TOX,12,FALSE))*3)+('GW-1 Exp'!$J$36*'GW-1 Derm'!Q39*(VLOOKUP(A39,[1]!TOX,12,FALSE))*1)))))))</f>
        <v>1.4050197834167966</v>
      </c>
      <c r="AB39" s="838">
        <f>L39*IF('GW-1 Exp'!U$26&lt;=$E39,2*(VLOOKUP(A39,[1]!TOX,67,FALSE))*1*0.000001*SQRT(6*$C39*'GW-1 Exp'!$U$26/PI()),(VLOOKUP(A39,[1]!TOX,67,FALSE))*1*0.000001*('GW-1 Exp'!$U$26/(1+$B39)+2*$C39*(1+3*$B39+3*$B39^2)/(1+$B39)^2))</f>
        <v>1.6042065344988927E-6</v>
      </c>
      <c r="AC39" s="837">
        <f>L39*IF('GW-1 Exp'!U$27&lt;=$E39,2*(VLOOKUP(A39,[1]!TOX,67,FALSE))*1*0.000001*SQRT(6*$C39*'GW-1 Exp'!$U$27/PI()),(VLOOKUP(A39,[1]!TOX,67,FALSE))*1*0.000001*('GW-1 Exp'!$U$27/(1+$B39)+2*$C39*(1+3*$B39+3*$B39^2)/(1+$B39)^2))</f>
        <v>1.7407077638643514E-6</v>
      </c>
      <c r="AD39" s="837">
        <f>L39*IF('GW-1 Exp'!U$28&lt;=$E39,2*(VLOOKUP(A39,[1]!TOX,67,FALSE))*1*0.000001*SQRT(6*$C39*'GW-1 Exp'!$U$28/PI()),(VLOOKUP(A39,[1]!TOX,67,FALSE))*1*0.000001*('GW-1 Exp'!$U$28/(1+$B39)+2*$C39*(1+3*$B39+3*$B39^2)/(1+$B39)^2))</f>
        <v>1.8336099025430536E-6</v>
      </c>
      <c r="AE39" s="839">
        <f>L39*IF('GW-1 Exp'!U$29&lt;=$E39,2*(VLOOKUP(A39,[1]!TOX,67,FALSE))*1*0.000001*SQRT(6*$C39*'GW-1 Exp'!$U$29/PI()),(VLOOKUP(A39,[1]!TOX,67,FALSE))*1*0.000001*('GW-1 Exp'!$U$29/(1+$B39)+2*$C39*(1+3*$B39+3*$B39^2)/(1+$B39)^2))</f>
        <v>2.129835854580748E-6</v>
      </c>
    </row>
    <row r="40" spans="1:31" x14ac:dyDescent="0.25">
      <c r="A40" s="541" t="s">
        <v>282</v>
      </c>
      <c r="B40" s="587">
        <f>(VLOOKUP(A40,[1]!TOX,67,FALSE))*(SQRT((VLOOKUP(A40,[1]!TOX,57,FALSE)))/2.6)</f>
        <v>1.9985201625794739E-3</v>
      </c>
      <c r="C40" s="596">
        <f>('GW-1 Exp'!$O$29^2)/(6*D40)</f>
        <v>0.14895282680836641</v>
      </c>
      <c r="D40" s="486">
        <f>10^(-2.8-(0.0056*(VLOOKUP(A40,[1]!TOX,57,FALSE))))*'GW-1 Exp'!$O$29</f>
        <v>1.1189224819552422E-6</v>
      </c>
      <c r="E40" s="597">
        <f t="shared" si="0"/>
        <v>0.35748678434007936</v>
      </c>
      <c r="F40" s="597">
        <f>IF(B40&lt;=0.6,0,(G40-SQRT(G40^2-H40^2))*('GW-1 Exp'!$O$29^2/D40))</f>
        <v>0</v>
      </c>
      <c r="G40" s="582">
        <f t="shared" si="1"/>
        <v>0.30449990116774828</v>
      </c>
      <c r="H40" s="598">
        <f t="shared" si="2"/>
        <v>0.33466700881388833</v>
      </c>
      <c r="I40" s="854">
        <f>(VLOOKUP(A40,[1]!TOX,67,FALSE))*1*0.000001*'GW-1 Exp'!$U$13</f>
        <v>5.9285714285714288E-10</v>
      </c>
      <c r="J40" s="855">
        <f>(VLOOKUP(A40,[1]!TOX,67,FALSE))*1*0.000001*'GW-1 Exp'!$U$21</f>
        <v>7.6555555555555563E-10</v>
      </c>
      <c r="K40" s="482"/>
      <c r="L40" s="554">
        <v>1</v>
      </c>
      <c r="M40" s="481">
        <f t="shared" si="3"/>
        <v>5.9285714285714288E-10</v>
      </c>
      <c r="N40" s="483">
        <f t="shared" si="4"/>
        <v>7.6555555555555563E-10</v>
      </c>
      <c r="O40" s="486" t="str">
        <f>IF(VLOOKUP(A40,[1]!TOX,81,FALSE)="Y","Inorganic",IF(K40="*","Streamlined",IF($E40=0,"Reduced Steady State",IF('GW-1 Exp'!$U$13&lt;=$E40,"Non-Steady State","Steady State"))))</f>
        <v>Inorganic</v>
      </c>
      <c r="P40" s="485" t="str">
        <f>IF(VLOOKUP(A40,[1]!TOX,81,FALSE)="Y","Inorganic",IF(K40="*","Streamlined",IF($E40=0,0,IF('GW-1 Exp'!$U$21&lt;=$E40,"Non-Steady State","Steady State"))))</f>
        <v>Inorganic</v>
      </c>
      <c r="Q40" s="563">
        <f>IF(K40=0,0,IF((VLOOKUP(A40,[1]!TOX,67,FALSE))=0,0,IF((VLOOKUP(A40,[1]!TOX,67,FALSE))&lt;0.5,0.2,1)))</f>
        <v>0</v>
      </c>
      <c r="R40" s="614">
        <f>IF(K40=0,IF(M40=0,0,('[1]Target Risk'!$D$8*(VLOOKUP(A40,[1]!TOX,4,FALSE))*(VLOOKUP(A40,[1]!TOX,37,FALSE)))/('GW-1 Exp'!$V$13*'GW-1 Derm'!$M40)),('[1]Target Risk'!$D$8*(VLOOKUP(A40,[1]!TOX,4,FALSE))*(VLOOKUP(A40,[1]!TOX,37,FALSE)))/('GW-1 Exp'!$J$18*'GW-1 Derm'!$Q40))</f>
        <v>498.37873615579343</v>
      </c>
      <c r="S40" s="574">
        <f>IF(OR(VLOOKUP(A40,[1]!TOX,12,FALSE)=0,VLOOKUP(A40,[1]!TOX,38,FALSE)=0),0,IF(K40=0,('[1]Target Risk'!$D$12*(VLOOKUP(A40,[1]!TOX,38,FALSE)))/('GW-1 Exp'!$V$21*'GW-1 Derm'!N40*(VLOOKUP(A40,[1]!TOX,12,FALSE))),IF(Q40=0,0,('[1]Target Risk'!$D$12*(VLOOKUP(A40,[1]!TOX,38,FALSE)))/('GW-1 Exp'!$J$26*'GW-1 Derm'!Q40*(VLOOKUP(A40,[1]!TOX,12,FALSE))))))</f>
        <v>0</v>
      </c>
      <c r="T40" s="575">
        <f>IF(OR(VLOOKUP(A40,[1]!TOX,12,FALSE)=0,VLOOKUP(A40,[1]!TOX,38,FALSE)=0),0,IF(NOT(VLOOKUP(A40,[1]!TOX,36,FALSE)="M"), IF(K40=0,('[1]Target Risk'!$D$12*(VLOOKUP(A40,[1]!TOX,38,FALSE)))/('GW-1 Exp'!$V$21*'GW-1 Derm'!N40*(VLOOKUP(A40,[1]!TOX,12,FALSE))),IF(Q40=0,0,('[1]Target Risk'!$D$12*(VLOOKUP(A40,[1]!TOX,38,FALSE)))/('GW-1 Exp'!$J$26*'GW-1 Derm'!Q40*(VLOOKUP(A40,[1]!TOX,12,FALSE))))), IF(K40=0,('[1]Target Risk'!$D$12*(VLOOKUP(A40,[1]!TOX,38,FALSE)))/(('GW-1 Exp'!$V$26*'GW-1 Derm'!AB40*(VLOOKUP(A40,[1]!TOX,12,FALSE))*10)+('GW-1 Exp'!$V$27*'GW-1 Derm'!AC40*(VLOOKUP(A40,[1]!TOX,12,FALSE))*3)+('GW-1 Exp'!$V$28*'GW-1 Derm'!AD40*(VLOOKUP(A40,[1]!TOX,12,FALSE))*3)+('GW-1 Exp'!$V$29*'GW-1 Derm'!AE40*(VLOOKUP(A40,[1]!TOX,12,FALSE))*1)),IF(Q40=0,0,(('[1]Target Risk'!$D$12*(VLOOKUP(A40,[1]!TOX,38,FALSE)))/(('GW-1 Exp'!$J$33*'GW-1 Derm'!Q40*(VLOOKUP(A40,[1]!TOX,12,FALSE))*10)+('GW-1 Exp'!$J$34*'GW-1 Derm'!Q40*(VLOOKUP(A40,[1]!TOX,12,FALSE))*3)+('GW-1 Exp'!$J$35*'GW-1 Derm'!Q40*(VLOOKUP(A40,[1]!TOX,12,FALSE))*3)+('GW-1 Exp'!$J$36*'GW-1 Derm'!Q40*(VLOOKUP(A40,[1]!TOX,12,FALSE))*1)))))))</f>
        <v>0</v>
      </c>
      <c r="AB40" s="838">
        <f>L40*IF('GW-1 Exp'!U$26&lt;=$E40,2*(VLOOKUP(A40,[1]!TOX,67,FALSE))*1*0.000001*SQRT(6*$C40*'GW-1 Exp'!$U$26/PI()),(VLOOKUP(A40,[1]!TOX,67,FALSE))*1*0.000001*('GW-1 Exp'!$U$26/(1+$B40)+2*$C40*(1+3*$B40+3*$B40^2)/(1+$B40)^2))</f>
        <v>8.1413717911307864E-10</v>
      </c>
      <c r="AC40" s="837">
        <f>L40*IF('GW-1 Exp'!U$27&lt;=$E40,2*(VLOOKUP(A40,[1]!TOX,67,FALSE))*1*0.000001*SQRT(6*$C40*'GW-1 Exp'!$U$27/PI()),(VLOOKUP(A40,[1]!TOX,67,FALSE))*1*0.000001*('GW-1 Exp'!$U$27/(1+$B40)+2*$C40*(1+3*$B40+3*$B40^2)/(1+$B40)^2))</f>
        <v>9.0562101349218839E-10</v>
      </c>
      <c r="AD40" s="837">
        <f>L40*IF('GW-1 Exp'!U$28&lt;=$E40,2*(VLOOKUP(A40,[1]!TOX,67,FALSE))*1*0.000001*SQRT(6*$C40*'GW-1 Exp'!$U$28/PI()),(VLOOKUP(A40,[1]!TOX,67,FALSE))*1*0.000001*('GW-1 Exp'!$U$28/(1+$B40)+2*$C40*(1+3*$B40+3*$B40^2)/(1+$B40)^2))</f>
        <v>9.721547112224502E-10</v>
      </c>
      <c r="AE40" s="839">
        <f>L40*IF('GW-1 Exp'!U$29&lt;=$E40,2*(VLOOKUP(A40,[1]!TOX,67,FALSE))*1*0.000001*SQRT(6*$C40*'GW-1 Exp'!$U$29/PI()),(VLOOKUP(A40,[1]!TOX,67,FALSE))*1*0.000001*('GW-1 Exp'!$U$29/(1+$B40)+2*$C40*(1+3*$B40+3*$B40^2)/(1+$B40)^2))</f>
        <v>1.2073988567687332E-9</v>
      </c>
    </row>
    <row r="41" spans="1:31" x14ac:dyDescent="0.25">
      <c r="A41" s="540" t="s">
        <v>192</v>
      </c>
      <c r="B41" s="587">
        <f>(VLOOKUP(A41,[1]!TOX,67,FALSE))*(SQRT((VLOOKUP(A41,[1]!TOX,57,FALSE)))/2.6)</f>
        <v>8.0398704345065379</v>
      </c>
      <c r="C41" s="596">
        <f>('GW-1 Exp'!$O$29^2)/(6*D41)</f>
        <v>3.7900832514931624</v>
      </c>
      <c r="D41" s="486">
        <f>10^(-2.8-(0.0056*(VLOOKUP(A41,[1]!TOX,57,FALSE))))*'GW-1 Exp'!$O$29</f>
        <v>4.3974407844736847E-8</v>
      </c>
      <c r="E41" s="597">
        <f t="shared" si="0"/>
        <v>17.022543969464827</v>
      </c>
      <c r="F41" s="597">
        <f>IF(B41&lt;=0.6,0,(G41-SQRT(G41^2-H41^2))*('GW-1 Exp'!$O$29^2/D41))</f>
        <v>17.022543969464827</v>
      </c>
      <c r="G41" s="582">
        <f t="shared" si="1"/>
        <v>43.947350970956471</v>
      </c>
      <c r="H41" s="598">
        <f t="shared" si="2"/>
        <v>8.0767441193395602</v>
      </c>
      <c r="I41" s="606">
        <f>IF('GW-1 Exp'!$U$13&lt;=$E41,2*(VLOOKUP(A41,[1]!TOX,67,FALSE))*1*0.000001*SQRT(6*$C41*'GW-1 Exp'!$U$13/PI()),(VLOOKUP(A41,[1]!TOX,67,FALSE))*1*0.000001*('GW-1 Exp'!$U$13/(1+$B41)+2*$C41*(1+3*$B41+3*$B41^2)/(1+$B41)^2))</f>
        <v>5.1943365831830301E-6</v>
      </c>
      <c r="J41" s="607">
        <f>IF('GW-1 Exp'!$U$21&lt;=$E41,2*(VLOOKUP(A41,[1]!TOX,67,FALSE))*1*0.000001*SQRT(6*$C41*'GW-1 Exp'!$U$21/PI()),(VLOOKUP(A41,[1]!TOX,67,FALSE))*1*0.000001*('GW-1 Exp'!$U$21/(1+$B41)+2*$C41*(1+3*$B41+3*$B41^2)/(1+$B41)^2))</f>
        <v>5.9026008434304755E-6</v>
      </c>
      <c r="K41" s="482" t="s">
        <v>91</v>
      </c>
      <c r="L41" s="554">
        <v>0.6</v>
      </c>
      <c r="M41" s="481">
        <f t="shared" si="3"/>
        <v>3.1166019499098181E-6</v>
      </c>
      <c r="N41" s="483">
        <f t="shared" si="4"/>
        <v>3.541560506058285E-6</v>
      </c>
      <c r="O41" s="486" t="str">
        <f>IF(VLOOKUP(A41,[1]!TOX,81,FALSE)="Y","Inorganic",IF(K41="*","Streamlined",IF($E41=0,"Reduced Steady State",IF('GW-1 Exp'!$U$13&lt;=$E41,"Non-Steady State","Steady State"))))</f>
        <v>Streamlined</v>
      </c>
      <c r="P41" s="485" t="str">
        <f>IF(VLOOKUP(A41,[1]!TOX,81,FALSE)="Y","Inorganic",IF(K41="*","Streamlined",IF($E41=0,0,IF('GW-1 Exp'!$U$21&lt;=$E41,"Non-Steady State","Steady State"))))</f>
        <v>Streamlined</v>
      </c>
      <c r="Q41" s="563">
        <f>IF(K41=0,0,IF((VLOOKUP(A41,[1]!TOX,67,FALSE))=0,0,IF((VLOOKUP(A41,[1]!TOX,67,FALSE))&lt;0.5,0.2,1)))</f>
        <v>1</v>
      </c>
      <c r="R41" s="614">
        <f>IF(K41=0,IF(M41=0,0,('[1]Target Risk'!$D$8*(VLOOKUP(A41,[1]!TOX,4,FALSE))*(VLOOKUP(A41,[1]!TOX,37,FALSE)))/('GW-1 Exp'!$V$13*'GW-1 Derm'!$M41)),('[1]Target Risk'!$D$8*(VLOOKUP(A41,[1]!TOX,4,FALSE))*(VLOOKUP(A41,[1]!TOX,37,FALSE)))/('GW-1 Exp'!$J$18*'GW-1 Derm'!$Q41))</f>
        <v>89.531291208791231</v>
      </c>
      <c r="S41" s="757">
        <f>IF(OR(VLOOKUP(A41,[1]!TOX,12,FALSE)=0,VLOOKUP(A41,[1]!TOX,38,FALSE)=0),0,IF(K41=0,('[1]Target Risk'!$D$12*(VLOOKUP(A41,[1]!TOX,38,FALSE)))/('GW-1 Exp'!$V$21*'GW-1 Derm'!N41*(VLOOKUP(A41,[1]!TOX,12,FALSE))),IF(Q41=0,0,('[1]Target Risk'!$D$12*(VLOOKUP(A41,[1]!TOX,38,FALSE)))/('GW-1 Exp'!$J$26*'GW-1 Derm'!Q41*(VLOOKUP(A41,[1]!TOX,12,FALSE))))))</f>
        <v>5.0841242809851986E-2</v>
      </c>
      <c r="T41" s="575">
        <f>IF(OR(VLOOKUP(A41,[1]!TOX,12,FALSE)=0,VLOOKUP(A41,[1]!TOX,38,FALSE)=0),0,IF(NOT(VLOOKUP(A41,[1]!TOX,36,FALSE)="M"), IF(K41=0,('[1]Target Risk'!$D$12*(VLOOKUP(A41,[1]!TOX,38,FALSE)))/('GW-1 Exp'!$V$21*'GW-1 Derm'!N41*(VLOOKUP(A41,[1]!TOX,12,FALSE))),IF(Q41=0,0,('[1]Target Risk'!$D$12*(VLOOKUP(A41,[1]!TOX,38,FALSE)))/('GW-1 Exp'!$J$26*'GW-1 Derm'!Q41*(VLOOKUP(A41,[1]!TOX,12,FALSE))))), IF(K41=0,('[1]Target Risk'!$D$12*(VLOOKUP(A41,[1]!TOX,38,FALSE)))/(('GW-1 Exp'!$V$26*'GW-1 Derm'!AB41*(VLOOKUP(A41,[1]!TOX,12,FALSE))*10)+('GW-1 Exp'!$V$27*'GW-1 Derm'!AC41*(VLOOKUP(A41,[1]!TOX,12,FALSE))*3)+('GW-1 Exp'!$V$28*'GW-1 Derm'!AD41*(VLOOKUP(A41,[1]!TOX,12,FALSE))*3)+('GW-1 Exp'!$V$29*'GW-1 Derm'!AE41*(VLOOKUP(A41,[1]!TOX,12,FALSE))*1)),IF(Q41=0,0,(('[1]Target Risk'!$D$12*(VLOOKUP(A41,[1]!TOX,38,FALSE)))/(('GW-1 Exp'!$J$33*'GW-1 Derm'!Q41*(VLOOKUP(A41,[1]!TOX,12,FALSE))*10)+('GW-1 Exp'!$J$34*'GW-1 Derm'!Q41*(VLOOKUP(A41,[1]!TOX,12,FALSE))*3)+('GW-1 Exp'!$J$35*'GW-1 Derm'!Q41*(VLOOKUP(A41,[1]!TOX,12,FALSE))*3)+('GW-1 Exp'!$J$36*'GW-1 Derm'!Q41*(VLOOKUP(A41,[1]!TOX,12,FALSE))*1)))))))</f>
        <v>1.4050197834167968E-2</v>
      </c>
      <c r="AB41" s="838">
        <f>L41*IF('GW-1 Exp'!U$26&lt;=$E41,2*(VLOOKUP(A41,[1]!TOX,67,FALSE))*1*0.000001*SQRT(6*$C41*'GW-1 Exp'!$U$26/PI()),(VLOOKUP(A41,[1]!TOX,67,FALSE))*1*0.000001*('GW-1 Exp'!$U$26/(1+$B41)+2*$C41*(1+3*$B41+3*$B41^2)/(1+$B41)^2))</f>
        <v>2.9094542429598726E-6</v>
      </c>
      <c r="AC41" s="837">
        <f>L41*IF('GW-1 Exp'!U$27&lt;=$E41,2*(VLOOKUP(A41,[1]!TOX,67,FALSE))*1*0.000001*SQRT(6*$C41*'GW-1 Exp'!$U$27/PI()),(VLOOKUP(A41,[1]!TOX,67,FALSE))*1*0.000001*('GW-1 Exp'!$U$27/(1+$B41)+2*$C41*(1+3*$B41+3*$B41^2)/(1+$B41)^2))</f>
        <v>3.1570184265022551E-6</v>
      </c>
      <c r="AD41" s="837">
        <f>L41*IF('GW-1 Exp'!U$28&lt;=$E41,2*(VLOOKUP(A41,[1]!TOX,67,FALSE))*1*0.000001*SQRT(6*$C41*'GW-1 Exp'!$U$28/PI()),(VLOOKUP(A41,[1]!TOX,67,FALSE))*1*0.000001*('GW-1 Exp'!$U$28/(1+$B41)+2*$C41*(1+3*$B41+3*$B41^2)/(1+$B41)^2))</f>
        <v>3.3255095252143221E-6</v>
      </c>
      <c r="AE41" s="839">
        <f>L41*IF('GW-1 Exp'!U$29&lt;=$E41,2*(VLOOKUP(A41,[1]!TOX,67,FALSE))*1*0.000001*SQRT(6*$C41*'GW-1 Exp'!$U$29/PI()),(VLOOKUP(A41,[1]!TOX,67,FALSE))*1*0.000001*('GW-1 Exp'!$U$29/(1+$B41)+2*$C41*(1+3*$B41+3*$B41^2)/(1+$B41)^2))</f>
        <v>3.862756964678292E-6</v>
      </c>
    </row>
    <row r="42" spans="1:31" x14ac:dyDescent="0.25">
      <c r="A42" s="540" t="s">
        <v>193</v>
      </c>
      <c r="B42" s="587">
        <f>(VLOOKUP(A42,[1]!TOX,67,FALSE))*(SQRT((VLOOKUP(A42,[1]!TOX,57,FALSE)))/2.6)</f>
        <v>1.6027224470339885E-2</v>
      </c>
      <c r="C42" s="596">
        <f>('GW-1 Exp'!$O$29^2)/(6*D42)</f>
        <v>1.5369111085404419</v>
      </c>
      <c r="D42" s="486">
        <f>10^(-2.8-(0.0056*(VLOOKUP(A42,[1]!TOX,57,FALSE))))*'GW-1 Exp'!$O$29</f>
        <v>1.0844261957670731E-7</v>
      </c>
      <c r="E42" s="597">
        <f t="shared" si="0"/>
        <v>3.6885866604970605</v>
      </c>
      <c r="F42" s="597">
        <f>IF(B42&lt;=0.6,0,(G42-SQRT(G42^2-H42^2))*('GW-1 Exp'!$O$29^2/D42))</f>
        <v>0</v>
      </c>
      <c r="G42" s="582">
        <f t="shared" si="1"/>
        <v>0.31308737514707391</v>
      </c>
      <c r="H42" s="598">
        <f t="shared" si="2"/>
        <v>0.34410242295441756</v>
      </c>
      <c r="I42" s="606">
        <f>IF('GW-1 Exp'!$U$13&lt;=$E42,2*(VLOOKUP(A42,[1]!TOX,67,FALSE))*1*0.000001*SQRT(6*$C42*'GW-1 Exp'!$U$13/PI()),(VLOOKUP(A42,[1]!TOX,67,FALSE))*1*0.000001*('GW-1 Exp'!$U$13/(1+$B42)+2*$C42*(1+3*$B42+3*$B42^2)/(1+$B42)^2))</f>
        <v>7.6230731577845661E-9</v>
      </c>
      <c r="J42" s="607">
        <f>IF('GW-1 Exp'!$U$21&lt;=$E42,2*(VLOOKUP(A42,[1]!TOX,67,FALSE))*1*0.000001*SQRT(6*$C42*'GW-1 Exp'!$U$21/PI()),(VLOOKUP(A42,[1]!TOX,67,FALSE))*1*0.000001*('GW-1 Exp'!$U$21/(1+$B42)+2*$C42*(1+3*$B42+3*$B42^2)/(1+$B42)^2))</f>
        <v>8.6625033495804747E-9</v>
      </c>
      <c r="K42" s="482"/>
      <c r="L42" s="554">
        <v>1</v>
      </c>
      <c r="M42" s="481">
        <f t="shared" si="3"/>
        <v>7.6230731577845661E-9</v>
      </c>
      <c r="N42" s="483">
        <f t="shared" si="4"/>
        <v>8.6625033495804747E-9</v>
      </c>
      <c r="O42" s="486" t="str">
        <f>IF(VLOOKUP(A42,[1]!TOX,81,FALSE)="Y","Inorganic",IF(K42="*","Streamlined",IF($E42=0,"Reduced Steady State",IF('GW-1 Exp'!$U$13&lt;=$E42,"Non-Steady State","Steady State"))))</f>
        <v>Non-Steady State</v>
      </c>
      <c r="P42" s="485" t="str">
        <f>IF(VLOOKUP(A42,[1]!TOX,81,FALSE)="Y","Inorganic",IF(K42="*","Streamlined",IF($E42=0,0,IF('GW-1 Exp'!$U$21&lt;=$E42,"Non-Steady State","Steady State"))))</f>
        <v>Non-Steady State</v>
      </c>
      <c r="Q42" s="563">
        <f>IF(K42=0,0,IF((VLOOKUP(A42,[1]!TOX,67,FALSE))=0,0,IF((VLOOKUP(A42,[1]!TOX,67,FALSE))&lt;0.5,0.2,1)))</f>
        <v>0</v>
      </c>
      <c r="R42" s="614">
        <f>IF(K42=0,IF(M42=0,0,('[1]Target Risk'!$D$8*(VLOOKUP(A42,[1]!TOX,4,FALSE))*(VLOOKUP(A42,[1]!TOX,37,FALSE)))/('GW-1 Exp'!$V$13*'GW-1 Derm'!$M42)),('[1]Target Risk'!$D$8*(VLOOKUP(A42,[1]!TOX,4,FALSE))*(VLOOKUP(A42,[1]!TOX,37,FALSE)))/('GW-1 Exp'!$J$18*'GW-1 Derm'!$Q42))</f>
        <v>1266.1474784650936</v>
      </c>
      <c r="S42" s="574">
        <f>IF(OR(VLOOKUP(A42,[1]!TOX,12,FALSE)=0,VLOOKUP(A42,[1]!TOX,38,FALSE)=0),0,IF(K42=0,('[1]Target Risk'!$D$12*(VLOOKUP(A42,[1]!TOX,38,FALSE)))/('GW-1 Exp'!$V$21*'GW-1 Derm'!N42*(VLOOKUP(A42,[1]!TOX,12,FALSE))),IF(Q42=0,0,('[1]Target Risk'!$D$12*(VLOOKUP(A42,[1]!TOX,38,FALSE)))/('GW-1 Exp'!$J$26*'GW-1 Derm'!Q42*(VLOOKUP(A42,[1]!TOX,12,FALSE))))))</f>
        <v>10.070778371260442</v>
      </c>
      <c r="T42" s="575">
        <f>IF(OR(VLOOKUP(A42,[1]!TOX,12,FALSE)=0,VLOOKUP(A42,[1]!TOX,38,FALSE)=0),0,IF(NOT(VLOOKUP(A42,[1]!TOX,36,FALSE)="M"), IF(K42=0,('[1]Target Risk'!$D$12*(VLOOKUP(A42,[1]!TOX,38,FALSE)))/('GW-1 Exp'!$V$21*'GW-1 Derm'!N42*(VLOOKUP(A42,[1]!TOX,12,FALSE))),IF(Q42=0,0,('[1]Target Risk'!$D$12*(VLOOKUP(A42,[1]!TOX,38,FALSE)))/('GW-1 Exp'!$J$26*'GW-1 Derm'!Q42*(VLOOKUP(A42,[1]!TOX,12,FALSE))))), IF(K42=0,('[1]Target Risk'!$D$12*(VLOOKUP(A42,[1]!TOX,38,FALSE)))/(('GW-1 Exp'!$V$26*'GW-1 Derm'!AB42*(VLOOKUP(A42,[1]!TOX,12,FALSE))*10)+('GW-1 Exp'!$V$27*'GW-1 Derm'!AC42*(VLOOKUP(A42,[1]!TOX,12,FALSE))*3)+('GW-1 Exp'!$V$28*'GW-1 Derm'!AD42*(VLOOKUP(A42,[1]!TOX,12,FALSE))*3)+('GW-1 Exp'!$V$29*'GW-1 Derm'!AE42*(VLOOKUP(A42,[1]!TOX,12,FALSE))*1)),IF(Q42=0,0,(('[1]Target Risk'!$D$12*(VLOOKUP(A42,[1]!TOX,38,FALSE)))/(('GW-1 Exp'!$J$33*'GW-1 Derm'!Q42*(VLOOKUP(A42,[1]!TOX,12,FALSE))*10)+('GW-1 Exp'!$J$34*'GW-1 Derm'!Q42*(VLOOKUP(A42,[1]!TOX,12,FALSE))*3)+('GW-1 Exp'!$J$35*'GW-1 Derm'!Q42*(VLOOKUP(A42,[1]!TOX,12,FALSE))*3)+('GW-1 Exp'!$J$36*'GW-1 Derm'!Q42*(VLOOKUP(A42,[1]!TOX,12,FALSE))*1)))))))</f>
        <v>10.070778371260442</v>
      </c>
      <c r="AB42" s="838">
        <f>L42*IF('GW-1 Exp'!U$26&lt;=$E42,2*(VLOOKUP(A42,[1]!TOX,67,FALSE))*1*0.000001*SQRT(6*$C42*'GW-1 Exp'!$U$26/PI()),(VLOOKUP(A42,[1]!TOX,67,FALSE))*1*0.000001*('GW-1 Exp'!$U$26/(1+$B42)+2*$C42*(1+3*$B42+3*$B42^2)/(1+$B42)^2))</f>
        <v>7.1163988535499668E-9</v>
      </c>
      <c r="AC42" s="837">
        <f>L42*IF('GW-1 Exp'!U$27&lt;=$E42,2*(VLOOKUP(A42,[1]!TOX,67,FALSE))*1*0.000001*SQRT(6*$C42*'GW-1 Exp'!$U$27/PI()),(VLOOKUP(A42,[1]!TOX,67,FALSE))*1*0.000001*('GW-1 Exp'!$U$27/(1+$B42)+2*$C42*(1+3*$B42+3*$B42^2)/(1+$B42)^2))</f>
        <v>7.7219301060878132E-9</v>
      </c>
      <c r="AD42" s="837">
        <f>L42*IF('GW-1 Exp'!U$28&lt;=$E42,2*(VLOOKUP(A42,[1]!TOX,67,FALSE))*1*0.000001*SQRT(6*$C42*'GW-1 Exp'!$U$28/PI()),(VLOOKUP(A42,[1]!TOX,67,FALSE))*1*0.000001*('GW-1 Exp'!$U$28/(1+$B42)+2*$C42*(1+3*$B42+3*$B42^2)/(1+$B42)^2))</f>
        <v>8.1340520236637037E-9</v>
      </c>
      <c r="AE42" s="839">
        <f>L42*IF('GW-1 Exp'!U$29&lt;=$E42,2*(VLOOKUP(A42,[1]!TOX,67,FALSE))*1*0.000001*SQRT(6*$C42*'GW-1 Exp'!$U$29/PI()),(VLOOKUP(A42,[1]!TOX,67,FALSE))*1*0.000001*('GW-1 Exp'!$U$29/(1+$B42)+2*$C42*(1+3*$B42+3*$B42^2)/(1+$B42)^2))</f>
        <v>9.4481359524710953E-9</v>
      </c>
    </row>
    <row r="43" spans="1:31" ht="23" x14ac:dyDescent="0.25">
      <c r="A43" s="540" t="s">
        <v>194</v>
      </c>
      <c r="B43" s="587">
        <f>(VLOOKUP(A43,[1]!TOX,67,FALSE))*(SQRT((VLOOKUP(A43,[1]!TOX,57,FALSE)))/2.6)</f>
        <v>0.20383807974332754</v>
      </c>
      <c r="C43" s="596">
        <f>('GW-1 Exp'!$O$29^2)/(6*D43)</f>
        <v>0.69992055777344264</v>
      </c>
      <c r="D43" s="486">
        <f>10^(-2.8-(0.0056*(VLOOKUP(A43,[1]!TOX,57,FALSE))))*'GW-1 Exp'!$O$29</f>
        <v>2.3812226232768406E-7</v>
      </c>
      <c r="E43" s="597">
        <f t="shared" si="0"/>
        <v>1.6798093386562623</v>
      </c>
      <c r="F43" s="597">
        <f>IF(B43&lt;=0.6,0,(G43-SQRT(G43^2-H43^2))*('GW-1 Exp'!$O$29^2/D43))</f>
        <v>0</v>
      </c>
      <c r="G43" s="582">
        <f t="shared" si="1"/>
        <v>0.4418757583728371</v>
      </c>
      <c r="H43" s="598">
        <f t="shared" si="2"/>
        <v>0.48073024567680922</v>
      </c>
      <c r="I43" s="606">
        <f>IF('GW-1 Exp'!$U$13&lt;=$E43,2*(VLOOKUP(A43,[1]!TOX,67,FALSE))*1*0.000001*SQRT(6*$C43*'GW-1 Exp'!$U$13/PI()),(VLOOKUP(A43,[1]!TOX,67,FALSE))*1*0.000001*('GW-1 Exp'!$U$13/(1+$B43)+2*$C43*(1+3*$B43+3*$B43^2)/(1+$B43)^2))</f>
        <v>7.7826963739744483E-8</v>
      </c>
      <c r="J43" s="607">
        <f>IF('GW-1 Exp'!$U$21&lt;=$E43,2*(VLOOKUP(A43,[1]!TOX,67,FALSE))*1*0.000001*SQRT(6*$C43*'GW-1 Exp'!$U$21/PI()),(VLOOKUP(A43,[1]!TOX,67,FALSE))*1*0.000001*('GW-1 Exp'!$U$21/(1+$B43)+2*$C43*(1+3*$B43+3*$B43^2)/(1+$B43)^2))</f>
        <v>8.8438916973367397E-8</v>
      </c>
      <c r="K43" s="482"/>
      <c r="L43" s="554">
        <v>1</v>
      </c>
      <c r="M43" s="481">
        <f t="shared" si="3"/>
        <v>7.7826963739744483E-8</v>
      </c>
      <c r="N43" s="483">
        <f t="shared" si="4"/>
        <v>8.8438916973367397E-8</v>
      </c>
      <c r="O43" s="486" t="str">
        <f>IF(VLOOKUP(A43,[1]!TOX,81,FALSE)="Y","Inorganic",IF(K43="*","Streamlined",IF($E43=0,"Reduced Steady State",IF('GW-1 Exp'!$U$13&lt;=$E43,"Non-Steady State","Steady State"))))</f>
        <v>Non-Steady State</v>
      </c>
      <c r="P43" s="485" t="str">
        <f>IF(VLOOKUP(A43,[1]!TOX,81,FALSE)="Y","Inorganic",IF(K43="*","Streamlined",IF($E43=0,0,IF('GW-1 Exp'!$U$21&lt;=$E43,"Non-Steady State","Steady State"))))</f>
        <v>Non-Steady State</v>
      </c>
      <c r="Q43" s="563">
        <f>IF(K43=0,0,IF((VLOOKUP(A43,[1]!TOX,67,FALSE))=0,0,IF((VLOOKUP(A43,[1]!TOX,67,FALSE))&lt;0.5,0.2,1)))</f>
        <v>0</v>
      </c>
      <c r="R43" s="614">
        <f>IF(K43=0,IF(M43=0,0,('[1]Target Risk'!$D$8*(VLOOKUP(A43,[1]!TOX,4,FALSE))*(VLOOKUP(A43,[1]!TOX,37,FALSE)))/('GW-1 Exp'!$V$13*'GW-1 Derm'!$M43)),('[1]Target Risk'!$D$8*(VLOOKUP(A43,[1]!TOX,4,FALSE))*(VLOOKUP(A43,[1]!TOX,37,FALSE)))/('GW-1 Exp'!$J$18*'GW-1 Derm'!$Q43))</f>
        <v>569.46984575833267</v>
      </c>
      <c r="S43" s="574">
        <f>IF(OR(VLOOKUP(A43,[1]!TOX,12,FALSE)=0,VLOOKUP(A43,[1]!TOX,38,FALSE)=0),0,IF(K43=0,('[1]Target Risk'!$D$12*(VLOOKUP(A43,[1]!TOX,38,FALSE)))/('GW-1 Exp'!$V$21*'GW-1 Derm'!N43*(VLOOKUP(A43,[1]!TOX,12,FALSE))),IF(Q43=0,0,('[1]Target Risk'!$D$12*(VLOOKUP(A43,[1]!TOX,38,FALSE)))/('GW-1 Exp'!$J$26*'GW-1 Derm'!Q43*(VLOOKUP(A43,[1]!TOX,12,FALSE))))))</f>
        <v>0</v>
      </c>
      <c r="T43" s="575">
        <f>IF(OR(VLOOKUP(A43,[1]!TOX,12,FALSE)=0,VLOOKUP(A43,[1]!TOX,38,FALSE)=0),0,IF(NOT(VLOOKUP(A43,[1]!TOX,36,FALSE)="M"), IF(K43=0,('[1]Target Risk'!$D$12*(VLOOKUP(A43,[1]!TOX,38,FALSE)))/('GW-1 Exp'!$V$21*'GW-1 Derm'!N43*(VLOOKUP(A43,[1]!TOX,12,FALSE))),IF(Q43=0,0,('[1]Target Risk'!$D$12*(VLOOKUP(A43,[1]!TOX,38,FALSE)))/('GW-1 Exp'!$J$26*'GW-1 Derm'!Q43*(VLOOKUP(A43,[1]!TOX,12,FALSE))))), IF(K43=0,('[1]Target Risk'!$D$12*(VLOOKUP(A43,[1]!TOX,38,FALSE)))/(('GW-1 Exp'!$V$26*'GW-1 Derm'!AB43*(VLOOKUP(A43,[1]!TOX,12,FALSE))*10)+('GW-1 Exp'!$V$27*'GW-1 Derm'!AC43*(VLOOKUP(A43,[1]!TOX,12,FALSE))*3)+('GW-1 Exp'!$V$28*'GW-1 Derm'!AD43*(VLOOKUP(A43,[1]!TOX,12,FALSE))*3)+('GW-1 Exp'!$V$29*'GW-1 Derm'!AE43*(VLOOKUP(A43,[1]!TOX,12,FALSE))*1)),IF(Q43=0,0,(('[1]Target Risk'!$D$12*(VLOOKUP(A43,[1]!TOX,38,FALSE)))/(('GW-1 Exp'!$J$33*'GW-1 Derm'!Q43*(VLOOKUP(A43,[1]!TOX,12,FALSE))*10)+('GW-1 Exp'!$J$34*'GW-1 Derm'!Q43*(VLOOKUP(A43,[1]!TOX,12,FALSE))*3)+('GW-1 Exp'!$J$35*'GW-1 Derm'!Q43*(VLOOKUP(A43,[1]!TOX,12,FALSE))*3)+('GW-1 Exp'!$J$36*'GW-1 Derm'!Q43*(VLOOKUP(A43,[1]!TOX,12,FALSE))*1)))))))</f>
        <v>0</v>
      </c>
      <c r="AB43" s="838">
        <f>L43*IF('GW-1 Exp'!U$26&lt;=$E43,2*(VLOOKUP(A43,[1]!TOX,67,FALSE))*1*0.000001*SQRT(6*$C43*'GW-1 Exp'!$U$26/PI()),(VLOOKUP(A43,[1]!TOX,67,FALSE))*1*0.000001*('GW-1 Exp'!$U$26/(1+$B43)+2*$C43*(1+3*$B43+3*$B43^2)/(1+$B43)^2))</f>
        <v>7.2654125714012299E-8</v>
      </c>
      <c r="AC43" s="837">
        <f>L43*IF('GW-1 Exp'!U$27&lt;=$E43,2*(VLOOKUP(A43,[1]!TOX,67,FALSE))*1*0.000001*SQRT(6*$C43*'GW-1 Exp'!$U$27/PI()),(VLOOKUP(A43,[1]!TOX,67,FALSE))*1*0.000001*('GW-1 Exp'!$U$27/(1+$B43)+2*$C43*(1+3*$B43+3*$B43^2)/(1+$B43)^2))</f>
        <v>7.8836233357360835E-8</v>
      </c>
      <c r="AD43" s="837">
        <f>L43*IF('GW-1 Exp'!U$28&lt;=$E43,2*(VLOOKUP(A43,[1]!TOX,67,FALSE))*1*0.000001*SQRT(6*$C43*'GW-1 Exp'!$U$28/PI()),(VLOOKUP(A43,[1]!TOX,67,FALSE))*1*0.000001*('GW-1 Exp'!$U$28/(1+$B43)+2*$C43*(1+3*$B43+3*$B43^2)/(1+$B43)^2))</f>
        <v>8.3043748734906324E-8</v>
      </c>
      <c r="AE43" s="839">
        <f>L43*IF('GW-1 Exp'!U$29&lt;=$E43,2*(VLOOKUP(A43,[1]!TOX,67,FALSE))*1*0.000001*SQRT(6*$C43*'GW-1 Exp'!$U$29/PI()),(VLOOKUP(A43,[1]!TOX,67,FALSE))*1*0.000001*('GW-1 Exp'!$U$29/(1+$B43)+2*$C43*(1+3*$B43+3*$B43^2)/(1+$B43)^2))</f>
        <v>9.6459750413158106E-8</v>
      </c>
    </row>
    <row r="44" spans="1:31" ht="23" x14ac:dyDescent="0.25">
      <c r="A44" s="540" t="s">
        <v>195</v>
      </c>
      <c r="B44" s="587">
        <f>(VLOOKUP(A44,[1]!TOX,67,FALSE))*(SQRT((VLOOKUP(A44,[1]!TOX,57,FALSE)))/2.6)</f>
        <v>0.23729321441425888</v>
      </c>
      <c r="C44" s="596">
        <f>('GW-1 Exp'!$O$29^2)/(6*D44)</f>
        <v>0.69992055777344264</v>
      </c>
      <c r="D44" s="486">
        <f>10^(-2.8-(0.0056*(VLOOKUP(A44,[1]!TOX,57,FALSE))))*'GW-1 Exp'!$O$29</f>
        <v>2.3812226232768406E-7</v>
      </c>
      <c r="E44" s="597">
        <f t="shared" si="0"/>
        <v>1.6798093386562623</v>
      </c>
      <c r="F44" s="597">
        <f>IF(B44&lt;=0.6,0,(G44-SQRT(G44^2-H44^2))*('GW-1 Exp'!$O$29^2/D44))</f>
        <v>0</v>
      </c>
      <c r="G44" s="582">
        <f t="shared" si="1"/>
        <v>0.46789920585948597</v>
      </c>
      <c r="H44" s="598">
        <f t="shared" si="2"/>
        <v>0.50669850125334892</v>
      </c>
      <c r="I44" s="606">
        <f>IF('GW-1 Exp'!$U$13&lt;=$E44,2*(VLOOKUP(A44,[1]!TOX,67,FALSE))*1*0.000001*SQRT(6*$C44*'GW-1 Exp'!$U$13/PI()),(VLOOKUP(A44,[1]!TOX,67,FALSE))*1*0.000001*('GW-1 Exp'!$U$13/(1+$B44)+2*$C44*(1+3*$B44+3*$B44^2)/(1+$B44)^2))</f>
        <v>9.0600394279422991E-8</v>
      </c>
      <c r="J44" s="607">
        <f>IF('GW-1 Exp'!$U$21&lt;=$E44,2*(VLOOKUP(A44,[1]!TOX,67,FALSE))*1*0.000001*SQRT(6*$C44*'GW-1 Exp'!$U$21/PI()),(VLOOKUP(A44,[1]!TOX,67,FALSE))*1*0.000001*('GW-1 Exp'!$U$21/(1+$B44)+2*$C44*(1+3*$B44+3*$B44^2)/(1+$B44)^2))</f>
        <v>1.0295404526157025E-7</v>
      </c>
      <c r="K44" s="482"/>
      <c r="L44" s="554">
        <v>1</v>
      </c>
      <c r="M44" s="481">
        <f t="shared" si="3"/>
        <v>9.0600394279422991E-8</v>
      </c>
      <c r="N44" s="483">
        <f t="shared" si="4"/>
        <v>1.0295404526157025E-7</v>
      </c>
      <c r="O44" s="486" t="str">
        <f>IF(VLOOKUP(A44,[1]!TOX,81,FALSE)="Y","Inorganic",IF(K44="*","Streamlined",IF($E44=0,"Reduced Steady State",IF('GW-1 Exp'!$U$13&lt;=$E44,"Non-Steady State","Steady State"))))</f>
        <v>Non-Steady State</v>
      </c>
      <c r="P44" s="485" t="str">
        <f>IF(VLOOKUP(A44,[1]!TOX,81,FALSE)="Y","Inorganic",IF(K44="*","Streamlined",IF($E44=0,0,IF('GW-1 Exp'!$U$21&lt;=$E44,"Non-Steady State","Steady State"))))</f>
        <v>Non-Steady State</v>
      </c>
      <c r="Q44" s="563">
        <f>IF(K44=0,0,IF((VLOOKUP(A44,[1]!TOX,67,FALSE))=0,0,IF((VLOOKUP(A44,[1]!TOX,67,FALSE))&lt;0.5,0.2,1)))</f>
        <v>0</v>
      </c>
      <c r="R44" s="614">
        <f>IF(K44=0,IF(M44=0,0,('[1]Target Risk'!$D$8*(VLOOKUP(A44,[1]!TOX,4,FALSE))*(VLOOKUP(A44,[1]!TOX,37,FALSE)))/('GW-1 Exp'!$V$13*'GW-1 Derm'!$M44)),('[1]Target Risk'!$D$8*(VLOOKUP(A44,[1]!TOX,4,FALSE))*(VLOOKUP(A44,[1]!TOX,37,FALSE)))/('GW-1 Exp'!$J$18*'GW-1 Derm'!$Q44))</f>
        <v>489.18229759600001</v>
      </c>
      <c r="S44" s="574">
        <f>IF(OR(VLOOKUP(A44,[1]!TOX,12,FALSE)=0,VLOOKUP(A44,[1]!TOX,38,FALSE)=0),0,IF(K44=0,('[1]Target Risk'!$D$12*(VLOOKUP(A44,[1]!TOX,38,FALSE)))/('GW-1 Exp'!$V$21*'GW-1 Derm'!N44*(VLOOKUP(A44,[1]!TOX,12,FALSE))),IF(Q44=0,0,('[1]Target Risk'!$D$12*(VLOOKUP(A44,[1]!TOX,38,FALSE)))/('GW-1 Exp'!$J$26*'GW-1 Derm'!Q44*(VLOOKUP(A44,[1]!TOX,12,FALSE))))))</f>
        <v>0</v>
      </c>
      <c r="T44" s="575">
        <f>IF(OR(VLOOKUP(A44,[1]!TOX,12,FALSE)=0,VLOOKUP(A44,[1]!TOX,38,FALSE)=0),0,IF(NOT(VLOOKUP(A44,[1]!TOX,36,FALSE)="M"), IF(K44=0,('[1]Target Risk'!$D$12*(VLOOKUP(A44,[1]!TOX,38,FALSE)))/('GW-1 Exp'!$V$21*'GW-1 Derm'!N44*(VLOOKUP(A44,[1]!TOX,12,FALSE))),IF(Q44=0,0,('[1]Target Risk'!$D$12*(VLOOKUP(A44,[1]!TOX,38,FALSE)))/('GW-1 Exp'!$J$26*'GW-1 Derm'!Q44*(VLOOKUP(A44,[1]!TOX,12,FALSE))))), IF(K44=0,('[1]Target Risk'!$D$12*(VLOOKUP(A44,[1]!TOX,38,FALSE)))/(('GW-1 Exp'!$V$26*'GW-1 Derm'!AB44*(VLOOKUP(A44,[1]!TOX,12,FALSE))*10)+('GW-1 Exp'!$V$27*'GW-1 Derm'!AC44*(VLOOKUP(A44,[1]!TOX,12,FALSE))*3)+('GW-1 Exp'!$V$28*'GW-1 Derm'!AD44*(VLOOKUP(A44,[1]!TOX,12,FALSE))*3)+('GW-1 Exp'!$V$29*'GW-1 Derm'!AE44*(VLOOKUP(A44,[1]!TOX,12,FALSE))*1)),IF(Q44=0,0,(('[1]Target Risk'!$D$12*(VLOOKUP(A44,[1]!TOX,38,FALSE)))/(('GW-1 Exp'!$J$33*'GW-1 Derm'!Q44*(VLOOKUP(A44,[1]!TOX,12,FALSE))*10)+('GW-1 Exp'!$J$34*'GW-1 Derm'!Q44*(VLOOKUP(A44,[1]!TOX,12,FALSE))*3)+('GW-1 Exp'!$J$35*'GW-1 Derm'!Q44*(VLOOKUP(A44,[1]!TOX,12,FALSE))*3)+('GW-1 Exp'!$J$36*'GW-1 Derm'!Q44*(VLOOKUP(A44,[1]!TOX,12,FALSE))*1)))))))</f>
        <v>0</v>
      </c>
      <c r="AB44" s="838">
        <f>L44*IF('GW-1 Exp'!U$26&lt;=$E44,2*(VLOOKUP(A44,[1]!TOX,67,FALSE))*1*0.000001*SQRT(6*$C44*'GW-1 Exp'!$U$26/PI()),(VLOOKUP(A44,[1]!TOX,67,FALSE))*1*0.000001*('GW-1 Exp'!$U$26/(1+$B44)+2*$C44*(1+3*$B44+3*$B44^2)/(1+$B44)^2))</f>
        <v>8.4578558887743777E-8</v>
      </c>
      <c r="AC44" s="837">
        <f>L44*IF('GW-1 Exp'!U$27&lt;=$E44,2*(VLOOKUP(A44,[1]!TOX,67,FALSE))*1*0.000001*SQRT(6*$C44*'GW-1 Exp'!$U$27/PI()),(VLOOKUP(A44,[1]!TOX,67,FALSE))*1*0.000001*('GW-1 Exp'!$U$27/(1+$B44)+2*$C44*(1+3*$B44+3*$B44^2)/(1+$B44)^2))</f>
        <v>9.177531131198336E-8</v>
      </c>
      <c r="AD44" s="837">
        <f>L44*IF('GW-1 Exp'!U$28&lt;=$E44,2*(VLOOKUP(A44,[1]!TOX,67,FALSE))*1*0.000001*SQRT(6*$C44*'GW-1 Exp'!$U$28/PI()),(VLOOKUP(A44,[1]!TOX,67,FALSE))*1*0.000001*('GW-1 Exp'!$U$28/(1+$B44)+2*$C44*(1+3*$B44+3*$B44^2)/(1+$B44)^2))</f>
        <v>9.667338948212896E-8</v>
      </c>
      <c r="AE44" s="839">
        <f>L44*IF('GW-1 Exp'!U$29&lt;=$E44,2*(VLOOKUP(A44,[1]!TOX,67,FALSE))*1*0.000001*SQRT(6*$C44*'GW-1 Exp'!$U$29/PI()),(VLOOKUP(A44,[1]!TOX,67,FALSE))*1*0.000001*('GW-1 Exp'!$U$29/(1+$B44)+2*$C44*(1+3*$B44+3*$B44^2)/(1+$B44)^2))</f>
        <v>1.1229130624639669E-7</v>
      </c>
    </row>
    <row r="45" spans="1:31" ht="23" x14ac:dyDescent="0.25">
      <c r="A45" s="540" t="s">
        <v>196</v>
      </c>
      <c r="B45" s="587">
        <f>(VLOOKUP(A45,[1]!TOX,67,FALSE))*(SQRT((VLOOKUP(A45,[1]!TOX,57,FALSE)))/2.6)</f>
        <v>0.20695947756407057</v>
      </c>
      <c r="C45" s="596">
        <f>('GW-1 Exp'!$O$29^2)/(6*D45)</f>
        <v>0.69992055777344264</v>
      </c>
      <c r="D45" s="486">
        <f>10^(-2.8-(0.0056*(VLOOKUP(A45,[1]!TOX,57,FALSE))))*'GW-1 Exp'!$O$29</f>
        <v>2.3812226232768406E-7</v>
      </c>
      <c r="E45" s="597">
        <f t="shared" si="0"/>
        <v>1.6798093386562623</v>
      </c>
      <c r="F45" s="597">
        <f>IF(B45&lt;=0.6,0,(G45-SQRT(G45^2-H45^2))*('GW-1 Exp'!$O$29^2/D45))</f>
        <v>0</v>
      </c>
      <c r="G45" s="582">
        <f t="shared" si="1"/>
        <v>0.44426105058098048</v>
      </c>
      <c r="H45" s="598">
        <f t="shared" si="2"/>
        <v>0.48313555433350669</v>
      </c>
      <c r="I45" s="606">
        <f>IF('GW-1 Exp'!$U$13&lt;=$E45,2*(VLOOKUP(A45,[1]!TOX,67,FALSE))*1*0.000001*SQRT(6*$C45*'GW-1 Exp'!$U$13/PI()),(VLOOKUP(A45,[1]!TOX,67,FALSE))*1*0.000001*('GW-1 Exp'!$U$13/(1+$B45)+2*$C45*(1+3*$B45+3*$B45^2)/(1+$B45)^2))</f>
        <v>7.9018737697378795E-8</v>
      </c>
      <c r="J45" s="607">
        <f>IF('GW-1 Exp'!$U$21&lt;=$E45,2*(VLOOKUP(A45,[1]!TOX,67,FALSE))*1*0.000001*SQRT(6*$C45*'GW-1 Exp'!$U$21/PI()),(VLOOKUP(A45,[1]!TOX,67,FALSE))*1*0.000001*('GW-1 Exp'!$U$21/(1+$B45)+2*$C45*(1+3*$B45+3*$B45^2)/(1+$B45)^2))</f>
        <v>8.9793193088297177E-8</v>
      </c>
      <c r="K45" s="482"/>
      <c r="L45" s="554">
        <v>1</v>
      </c>
      <c r="M45" s="481">
        <f t="shared" si="3"/>
        <v>7.9018737697378795E-8</v>
      </c>
      <c r="N45" s="483">
        <f t="shared" si="4"/>
        <v>8.9793193088297177E-8</v>
      </c>
      <c r="O45" s="486" t="str">
        <f>IF(VLOOKUP(A45,[1]!TOX,81,FALSE)="Y","Inorganic",IF(K45="*","Streamlined",IF($E45=0,"Reduced Steady State",IF('GW-1 Exp'!$U$13&lt;=$E45,"Non-Steady State","Steady State"))))</f>
        <v>Non-Steady State</v>
      </c>
      <c r="P45" s="485" t="str">
        <f>IF(VLOOKUP(A45,[1]!TOX,81,FALSE)="Y","Inorganic",IF(K45="*","Streamlined",IF($E45=0,0,IF('GW-1 Exp'!$U$21&lt;=$E45,"Non-Steady State","Steady State"))))</f>
        <v>Non-Steady State</v>
      </c>
      <c r="Q45" s="563">
        <f>IF(K45=0,0,IF((VLOOKUP(A45,[1]!TOX,67,FALSE))=0,0,IF((VLOOKUP(A45,[1]!TOX,67,FALSE))&lt;0.5,0.2,1)))</f>
        <v>0</v>
      </c>
      <c r="R45" s="614">
        <f>IF(K45=0,IF(M45=0,0,('[1]Target Risk'!$D$8*(VLOOKUP(A45,[1]!TOX,4,FALSE))*(VLOOKUP(A45,[1]!TOX,37,FALSE)))/('GW-1 Exp'!$V$13*'GW-1 Derm'!$M45)),('[1]Target Risk'!$D$8*(VLOOKUP(A45,[1]!TOX,4,FALSE))*(VLOOKUP(A45,[1]!TOX,37,FALSE)))/('GW-1 Exp'!$J$18*'GW-1 Derm'!$Q45))</f>
        <v>560.88100529327767</v>
      </c>
      <c r="S45" s="574">
        <f>IF(OR(VLOOKUP(A45,[1]!TOX,12,FALSE)=0,VLOOKUP(A45,[1]!TOX,38,FALSE)=0),0,IF(K45=0,('[1]Target Risk'!$D$12*(VLOOKUP(A45,[1]!TOX,38,FALSE)))/('GW-1 Exp'!$V$21*'GW-1 Derm'!N45*(VLOOKUP(A45,[1]!TOX,12,FALSE))),IF(Q45=0,0,('[1]Target Risk'!$D$12*(VLOOKUP(A45,[1]!TOX,38,FALSE)))/('GW-1 Exp'!$J$26*'GW-1 Derm'!Q45*(VLOOKUP(A45,[1]!TOX,12,FALSE))))))</f>
        <v>3.4698045098928239</v>
      </c>
      <c r="T45" s="575">
        <f>IF(OR(VLOOKUP(A45,[1]!TOX,12,FALSE)=0,VLOOKUP(A45,[1]!TOX,38,FALSE)=0),0,IF(NOT(VLOOKUP(A45,[1]!TOX,36,FALSE)="M"), IF(K45=0,('[1]Target Risk'!$D$12*(VLOOKUP(A45,[1]!TOX,38,FALSE)))/('GW-1 Exp'!$V$21*'GW-1 Derm'!N45*(VLOOKUP(A45,[1]!TOX,12,FALSE))),IF(Q45=0,0,('[1]Target Risk'!$D$12*(VLOOKUP(A45,[1]!TOX,38,FALSE)))/('GW-1 Exp'!$J$26*'GW-1 Derm'!Q45*(VLOOKUP(A45,[1]!TOX,12,FALSE))))), IF(K45=0,('[1]Target Risk'!$D$12*(VLOOKUP(A45,[1]!TOX,38,FALSE)))/(('GW-1 Exp'!$V$26*'GW-1 Derm'!AB45*(VLOOKUP(A45,[1]!TOX,12,FALSE))*10)+('GW-1 Exp'!$V$27*'GW-1 Derm'!AC45*(VLOOKUP(A45,[1]!TOX,12,FALSE))*3)+('GW-1 Exp'!$V$28*'GW-1 Derm'!AD45*(VLOOKUP(A45,[1]!TOX,12,FALSE))*3)+('GW-1 Exp'!$V$29*'GW-1 Derm'!AE45*(VLOOKUP(A45,[1]!TOX,12,FALSE))*1)),IF(Q45=0,0,(('[1]Target Risk'!$D$12*(VLOOKUP(A45,[1]!TOX,38,FALSE)))/(('GW-1 Exp'!$J$33*'GW-1 Derm'!Q45*(VLOOKUP(A45,[1]!TOX,12,FALSE))*10)+('GW-1 Exp'!$J$34*'GW-1 Derm'!Q45*(VLOOKUP(A45,[1]!TOX,12,FALSE))*3)+('GW-1 Exp'!$J$35*'GW-1 Derm'!Q45*(VLOOKUP(A45,[1]!TOX,12,FALSE))*3)+('GW-1 Exp'!$J$36*'GW-1 Derm'!Q45*(VLOOKUP(A45,[1]!TOX,12,FALSE))*1)))))))</f>
        <v>3.4698045098928239</v>
      </c>
      <c r="AB45" s="838">
        <f>L45*IF('GW-1 Exp'!U$26&lt;=$E45,2*(VLOOKUP(A45,[1]!TOX,67,FALSE))*1*0.000001*SQRT(6*$C45*'GW-1 Exp'!$U$26/PI()),(VLOOKUP(A45,[1]!TOX,67,FALSE))*1*0.000001*('GW-1 Exp'!$U$26/(1+$B45)+2*$C45*(1+3*$B45+3*$B45^2)/(1+$B45)^2))</f>
        <v>7.3766687360772658E-8</v>
      </c>
      <c r="AC45" s="837">
        <f>L45*IF('GW-1 Exp'!U$27&lt;=$E45,2*(VLOOKUP(A45,[1]!TOX,67,FALSE))*1*0.000001*SQRT(6*$C45*'GW-1 Exp'!$U$27/PI()),(VLOOKUP(A45,[1]!TOX,67,FALSE))*1*0.000001*('GW-1 Exp'!$U$27/(1+$B45)+2*$C45*(1+3*$B45+3*$B45^2)/(1+$B45)^2))</f>
        <v>8.004346238594624E-8</v>
      </c>
      <c r="AD45" s="837">
        <f>L45*IF('GW-1 Exp'!U$28&lt;=$E45,2*(VLOOKUP(A45,[1]!TOX,67,FALSE))*1*0.000001*SQRT(6*$C45*'GW-1 Exp'!$U$28/PI()),(VLOOKUP(A45,[1]!TOX,67,FALSE))*1*0.000001*('GW-1 Exp'!$U$28/(1+$B45)+2*$C45*(1+3*$B45+3*$B45^2)/(1+$B45)^2))</f>
        <v>8.4315407968813275E-8</v>
      </c>
      <c r="AE45" s="839">
        <f>L45*IF('GW-1 Exp'!U$29&lt;=$E45,2*(VLOOKUP(A45,[1]!TOX,67,FALSE))*1*0.000001*SQRT(6*$C45*'GW-1 Exp'!$U$29/PI()),(VLOOKUP(A45,[1]!TOX,67,FALSE))*1*0.000001*('GW-1 Exp'!$U$29/(1+$B45)+2*$C45*(1+3*$B45+3*$B45^2)/(1+$B45)^2))</f>
        <v>9.7936850546303862E-8</v>
      </c>
    </row>
    <row r="46" spans="1:31" x14ac:dyDescent="0.25">
      <c r="A46" s="540" t="s">
        <v>197</v>
      </c>
      <c r="B46" s="587">
        <f>(VLOOKUP(A46,[1]!TOX,67,FALSE))*(SQRT((VLOOKUP(A46,[1]!TOX,57,FALSE)))/2.6)</f>
        <v>7.6981596331995431E-2</v>
      </c>
      <c r="C46" s="596">
        <f>('GW-1 Exp'!$O$29^2)/(6*D46)</f>
        <v>2.7456725990595929</v>
      </c>
      <c r="D46" s="486">
        <f>10^(-2.8-(0.0056*(VLOOKUP(A46,[1]!TOX,57,FALSE))))*'GW-1 Exp'!$O$29</f>
        <v>6.0701580634104318E-8</v>
      </c>
      <c r="E46" s="597">
        <f t="shared" si="0"/>
        <v>6.5896142377430227</v>
      </c>
      <c r="F46" s="597">
        <f>IF(B46&lt;=0.6,0,(G46-SQRT(G46^2-H46^2))*('GW-1 Exp'!$O$29^2/D46))</f>
        <v>0</v>
      </c>
      <c r="G46" s="582">
        <f t="shared" si="1"/>
        <v>0.35191991217912288</v>
      </c>
      <c r="H46" s="598">
        <f t="shared" si="2"/>
        <v>0.38648858741578584</v>
      </c>
      <c r="I46" s="606">
        <f>IF('GW-1 Exp'!$U$13&lt;=$E46,2*(VLOOKUP(A46,[1]!TOX,67,FALSE))*1*0.000001*SQRT(6*$C46*'GW-1 Exp'!$U$13/PI()),(VLOOKUP(A46,[1]!TOX,67,FALSE))*1*0.000001*('GW-1 Exp'!$U$13/(1+$B46)+2*$C46*(1+3*$B46+3*$B46^2)/(1+$B46)^2))</f>
        <v>4.4374154144491526E-8</v>
      </c>
      <c r="J46" s="607">
        <f>IF('GW-1 Exp'!$U$21&lt;=$E46,2*(VLOOKUP(A46,[1]!TOX,67,FALSE))*1*0.000001*SQRT(6*$C46*'GW-1 Exp'!$U$21/PI()),(VLOOKUP(A46,[1]!TOX,67,FALSE))*1*0.000001*('GW-1 Exp'!$U$21/(1+$B46)+2*$C46*(1+3*$B46+3*$B46^2)/(1+$B46)^2))</f>
        <v>5.0424710737417451E-8</v>
      </c>
      <c r="K46" s="482"/>
      <c r="L46" s="554">
        <v>1</v>
      </c>
      <c r="M46" s="481">
        <f t="shared" si="3"/>
        <v>4.4374154144491526E-8</v>
      </c>
      <c r="N46" s="483">
        <f t="shared" si="4"/>
        <v>5.0424710737417451E-8</v>
      </c>
      <c r="O46" s="486" t="str">
        <f>IF(VLOOKUP(A46,[1]!TOX,81,FALSE)="Y","Inorganic",IF(K46="*","Streamlined",IF($E46=0,"Reduced Steady State",IF('GW-1 Exp'!$U$13&lt;=$E46,"Non-Steady State","Steady State"))))</f>
        <v>Non-Steady State</v>
      </c>
      <c r="P46" s="485" t="str">
        <f>IF(VLOOKUP(A46,[1]!TOX,81,FALSE)="Y","Inorganic",IF(K46="*","Streamlined",IF($E46=0,0,IF('GW-1 Exp'!$U$21&lt;=$E46,"Non-Steady State","Steady State"))))</f>
        <v>Non-Steady State</v>
      </c>
      <c r="Q46" s="563">
        <f>IF(K46=0,0,IF((VLOOKUP(A46,[1]!TOX,67,FALSE))=0,0,IF((VLOOKUP(A46,[1]!TOX,67,FALSE))&lt;0.5,0.2,1)))</f>
        <v>0</v>
      </c>
      <c r="R46" s="614">
        <f>IF(K46=0,IF(M46=0,0,('[1]Target Risk'!$D$8*(VLOOKUP(A46,[1]!TOX,4,FALSE))*(VLOOKUP(A46,[1]!TOX,37,FALSE)))/('GW-1 Exp'!$V$13*'GW-1 Derm'!$M46)),('[1]Target Risk'!$D$8*(VLOOKUP(A46,[1]!TOX,4,FALSE))*(VLOOKUP(A46,[1]!TOX,37,FALSE)))/('GW-1 Exp'!$J$18*'GW-1 Derm'!$Q46))</f>
        <v>0</v>
      </c>
      <c r="S46" s="574">
        <f>IF(OR(VLOOKUP(A46,[1]!TOX,12,FALSE)=0,VLOOKUP(A46,[1]!TOX,38,FALSE)=0),0,IF(K46=0,('[1]Target Risk'!$D$12*(VLOOKUP(A46,[1]!TOX,38,FALSE)))/('GW-1 Exp'!$V$21*'GW-1 Derm'!N46*(VLOOKUP(A46,[1]!TOX,12,FALSE))),IF(Q46=0,0,('[1]Target Risk'!$D$12*(VLOOKUP(A46,[1]!TOX,38,FALSE)))/('GW-1 Exp'!$J$26*'GW-1 Derm'!Q46*(VLOOKUP(A46,[1]!TOX,12,FALSE))))))</f>
        <v>0.29658299364331808</v>
      </c>
      <c r="T46" s="575">
        <f>IF(OR(VLOOKUP(A46,[1]!TOX,12,FALSE)=0,VLOOKUP(A46,[1]!TOX,38,FALSE)=0),0,IF(NOT(VLOOKUP(A46,[1]!TOX,36,FALSE)="M"), IF(K46=0,('[1]Target Risk'!$D$12*(VLOOKUP(A46,[1]!TOX,38,FALSE)))/('GW-1 Exp'!$V$21*'GW-1 Derm'!N46*(VLOOKUP(A46,[1]!TOX,12,FALSE))),IF(Q46=0,0,('[1]Target Risk'!$D$12*(VLOOKUP(A46,[1]!TOX,38,FALSE)))/('GW-1 Exp'!$J$26*'GW-1 Derm'!Q46*(VLOOKUP(A46,[1]!TOX,12,FALSE))))), IF(K46=0,('[1]Target Risk'!$D$12*(VLOOKUP(A46,[1]!TOX,38,FALSE)))/(('GW-1 Exp'!$V$26*'GW-1 Derm'!AB46*(VLOOKUP(A46,[1]!TOX,12,FALSE))*10)+('GW-1 Exp'!$V$27*'GW-1 Derm'!AC46*(VLOOKUP(A46,[1]!TOX,12,FALSE))*3)+('GW-1 Exp'!$V$28*'GW-1 Derm'!AD46*(VLOOKUP(A46,[1]!TOX,12,FALSE))*3)+('GW-1 Exp'!$V$29*'GW-1 Derm'!AE46*(VLOOKUP(A46,[1]!TOX,12,FALSE))*1)),IF(Q46=0,0,(('[1]Target Risk'!$D$12*(VLOOKUP(A46,[1]!TOX,38,FALSE)))/(('GW-1 Exp'!$J$33*'GW-1 Derm'!Q46*(VLOOKUP(A46,[1]!TOX,12,FALSE))*10)+('GW-1 Exp'!$J$34*'GW-1 Derm'!Q46*(VLOOKUP(A46,[1]!TOX,12,FALSE))*3)+('GW-1 Exp'!$J$35*'GW-1 Derm'!Q46*(VLOOKUP(A46,[1]!TOX,12,FALSE))*3)+('GW-1 Exp'!$J$36*'GW-1 Derm'!Q46*(VLOOKUP(A46,[1]!TOX,12,FALSE))*1)))))))</f>
        <v>0.29658299364331808</v>
      </c>
      <c r="AB46" s="838">
        <f>L46*IF('GW-1 Exp'!U$26&lt;=$E46,2*(VLOOKUP(A46,[1]!TOX,67,FALSE))*1*0.000001*SQRT(6*$C46*'GW-1 Exp'!$U$26/PI()),(VLOOKUP(A46,[1]!TOX,67,FALSE))*1*0.000001*('GW-1 Exp'!$U$26/(1+$B46)+2*$C46*(1+3*$B46+3*$B46^2)/(1+$B46)^2))</f>
        <v>4.1424786715923761E-8</v>
      </c>
      <c r="AC46" s="837">
        <f>L46*IF('GW-1 Exp'!U$27&lt;=$E46,2*(VLOOKUP(A46,[1]!TOX,67,FALSE))*1*0.000001*SQRT(6*$C46*'GW-1 Exp'!$U$27/PI()),(VLOOKUP(A46,[1]!TOX,67,FALSE))*1*0.000001*('GW-1 Exp'!$U$27/(1+$B46)+2*$C46*(1+3*$B46+3*$B46^2)/(1+$B46)^2))</f>
        <v>4.4949603621554813E-8</v>
      </c>
      <c r="AD46" s="837">
        <f>L46*IF('GW-1 Exp'!U$28&lt;=$E46,2*(VLOOKUP(A46,[1]!TOX,67,FALSE))*1*0.000001*SQRT(6*$C46*'GW-1 Exp'!$U$28/PI()),(VLOOKUP(A46,[1]!TOX,67,FALSE))*1*0.000001*('GW-1 Exp'!$U$28/(1+$B46)+2*$C46*(1+3*$B46+3*$B46^2)/(1+$B46)^2))</f>
        <v>4.7348578564903095E-8</v>
      </c>
      <c r="AE46" s="839">
        <f>L46*IF('GW-1 Exp'!U$29&lt;=$E46,2*(VLOOKUP(A46,[1]!TOX,67,FALSE))*1*0.000001*SQRT(6*$C46*'GW-1 Exp'!$U$29/PI()),(VLOOKUP(A46,[1]!TOX,67,FALSE))*1*0.000001*('GW-1 Exp'!$U$29/(1+$B46)+2*$C46*(1+3*$B46+3*$B46^2)/(1+$B46)^2))</f>
        <v>5.4997903398700803E-8</v>
      </c>
    </row>
    <row r="47" spans="1:31" ht="20" x14ac:dyDescent="0.25">
      <c r="A47" s="510" t="s">
        <v>198</v>
      </c>
      <c r="B47" s="587">
        <f>(VLOOKUP(A47,[1]!TOX,67,FALSE))*(SQRT((VLOOKUP(A47,[1]!TOX,57,FALSE)))/2.6)</f>
        <v>1.6550138830186254</v>
      </c>
      <c r="C47" s="596">
        <f>('GW-1 Exp'!$O$29^2)/(6*D47)</f>
        <v>6.5140149298733672</v>
      </c>
      <c r="D47" s="486">
        <f>10^(-2.8-(0.0056*(VLOOKUP(A47,[1]!TOX,57,FALSE))))*'GW-1 Exp'!$O$29</f>
        <v>2.5585858869056455E-8</v>
      </c>
      <c r="E47" s="597">
        <f t="shared" si="0"/>
        <v>26.108464995571143</v>
      </c>
      <c r="F47" s="597">
        <f>IF(B47&lt;=0.6,0,(G47-SQRT(G47^2-H47^2))*('GW-1 Exp'!$O$29^2/D47))</f>
        <v>26.108464995571143</v>
      </c>
      <c r="G47" s="582">
        <f t="shared" si="1"/>
        <v>2.707033117284749</v>
      </c>
      <c r="H47" s="598">
        <f t="shared" si="2"/>
        <v>1.7805625046154168</v>
      </c>
      <c r="I47" s="606">
        <f>IF('GW-1 Exp'!$U$13&lt;=$E47,2*(VLOOKUP(A47,[1]!TOX,67,FALSE))*1*0.000001*SQRT(6*$C47*'GW-1 Exp'!$U$13/PI()),(VLOOKUP(A47,[1]!TOX,67,FALSE))*1*0.000001*('GW-1 Exp'!$U$13/(1+$B47)+2*$C47*(1+3*$B47+3*$B47^2)/(1+$B47)^2))</f>
        <v>1.3065621944456172E-6</v>
      </c>
      <c r="J47" s="607">
        <f>IF('GW-1 Exp'!$U$21&lt;=$E47,2*(VLOOKUP(A47,[1]!TOX,67,FALSE))*1*0.000001*SQRT(6*$C47*'GW-1 Exp'!$U$21/PI()),(VLOOKUP(A47,[1]!TOX,67,FALSE))*1*0.000001*('GW-1 Exp'!$U$21/(1+$B47)+2*$C47*(1+3*$B47+3*$B47^2)/(1+$B47)^2))</f>
        <v>1.4847160917329653E-6</v>
      </c>
      <c r="K47" s="482" t="s">
        <v>91</v>
      </c>
      <c r="L47" s="554">
        <v>0.8</v>
      </c>
      <c r="M47" s="481">
        <f t="shared" si="3"/>
        <v>1.0452497555564938E-6</v>
      </c>
      <c r="N47" s="483">
        <f t="shared" si="4"/>
        <v>1.1877728733863724E-6</v>
      </c>
      <c r="O47" s="486" t="str">
        <f>IF(VLOOKUP(A47,[1]!TOX,81,FALSE)="Y","Inorganic",IF(K47="*","Streamlined",IF($E47=0,"Reduced Steady State",IF('GW-1 Exp'!$U$13&lt;=$E47,"Non-Steady State","Steady State"))))</f>
        <v>Streamlined</v>
      </c>
      <c r="P47" s="485" t="str">
        <f>IF(VLOOKUP(A47,[1]!TOX,81,FALSE)="Y","Inorganic",IF(K47="*","Streamlined",IF($E47=0,0,IF('GW-1 Exp'!$U$21&lt;=$E47,"Non-Steady State","Steady State"))))</f>
        <v>Streamlined</v>
      </c>
      <c r="Q47" s="563">
        <f>IF(K47=0,0,IF((VLOOKUP(A47,[1]!TOX,67,FALSE))=0,0,IF((VLOOKUP(A47,[1]!TOX,67,FALSE))&lt;0.5,0.2,1)))</f>
        <v>0.2</v>
      </c>
      <c r="R47" s="614">
        <f>IF(K47=0,IF(M47=0,0,('[1]Target Risk'!$D$8*(VLOOKUP(A47,[1]!TOX,4,FALSE))*(VLOOKUP(A47,[1]!TOX,37,FALSE)))/('GW-1 Exp'!$V$13*'GW-1 Derm'!$M47)),('[1]Target Risk'!$D$8*(VLOOKUP(A47,[1]!TOX,4,FALSE))*(VLOOKUP(A47,[1]!TOX,37,FALSE)))/('GW-1 Exp'!$J$18*'GW-1 Derm'!$Q47))</f>
        <v>7.2987465659340671</v>
      </c>
      <c r="S47" s="574">
        <f>IF(OR(VLOOKUP(A47,[1]!TOX,12,FALSE)=0,VLOOKUP(A47,[1]!TOX,38,FALSE)=0),0,IF(K47=0,('[1]Target Risk'!$D$12*(VLOOKUP(A47,[1]!TOX,38,FALSE)))/('GW-1 Exp'!$V$21*'GW-1 Derm'!N47*(VLOOKUP(A47,[1]!TOX,12,FALSE))),IF(Q47=0,0,('[1]Target Risk'!$D$12*(VLOOKUP(A47,[1]!TOX,38,FALSE)))/('GW-1 Exp'!$J$26*'GW-1 Derm'!Q47*(VLOOKUP(A47,[1]!TOX,12,FALSE))))))</f>
        <v>0.69077775556864096</v>
      </c>
      <c r="T47" s="575">
        <f>IF(OR(VLOOKUP(A47,[1]!TOX,12,FALSE)=0,VLOOKUP(A47,[1]!TOX,38,FALSE)=0),0,IF(NOT(VLOOKUP(A47,[1]!TOX,36,FALSE)="M"), IF(K47=0,('[1]Target Risk'!$D$12*(VLOOKUP(A47,[1]!TOX,38,FALSE)))/('GW-1 Exp'!$V$21*'GW-1 Derm'!N47*(VLOOKUP(A47,[1]!TOX,12,FALSE))),IF(Q47=0,0,('[1]Target Risk'!$D$12*(VLOOKUP(A47,[1]!TOX,38,FALSE)))/('GW-1 Exp'!$J$26*'GW-1 Derm'!Q47*(VLOOKUP(A47,[1]!TOX,12,FALSE))))), IF(K47=0,('[1]Target Risk'!$D$12*(VLOOKUP(A47,[1]!TOX,38,FALSE)))/(('GW-1 Exp'!$V$26*'GW-1 Derm'!AB47*(VLOOKUP(A47,[1]!TOX,12,FALSE))*10)+('GW-1 Exp'!$V$27*'GW-1 Derm'!AC47*(VLOOKUP(A47,[1]!TOX,12,FALSE))*3)+('GW-1 Exp'!$V$28*'GW-1 Derm'!AD47*(VLOOKUP(A47,[1]!TOX,12,FALSE))*3)+('GW-1 Exp'!$V$29*'GW-1 Derm'!AE47*(VLOOKUP(A47,[1]!TOX,12,FALSE))*1)),IF(Q47=0,0,(('[1]Target Risk'!$D$12*(VLOOKUP(A47,[1]!TOX,38,FALSE)))/(('GW-1 Exp'!$J$33*'GW-1 Derm'!Q47*(VLOOKUP(A47,[1]!TOX,12,FALSE))*10)+('GW-1 Exp'!$J$34*'GW-1 Derm'!Q47*(VLOOKUP(A47,[1]!TOX,12,FALSE))*3)+('GW-1 Exp'!$J$35*'GW-1 Derm'!Q47*(VLOOKUP(A47,[1]!TOX,12,FALSE))*3)+('GW-1 Exp'!$J$36*'GW-1 Derm'!Q47*(VLOOKUP(A47,[1]!TOX,12,FALSE))*1)))))))</f>
        <v>0.69077775556864096</v>
      </c>
      <c r="AB47" s="838">
        <f>L47*IF('GW-1 Exp'!U$26&lt;=$E47,2*(VLOOKUP(A47,[1]!TOX,67,FALSE))*1*0.000001*SQRT(6*$C47*'GW-1 Exp'!$U$26/PI()),(VLOOKUP(A47,[1]!TOX,67,FALSE))*1*0.000001*('GW-1 Exp'!$U$26/(1+$B47)+2*$C47*(1+3*$B47+3*$B47^2)/(1+$B47)^2))</f>
        <v>9.7577630545492293E-7</v>
      </c>
      <c r="AC47" s="837">
        <f>L47*IF('GW-1 Exp'!U$27&lt;=$E47,2*(VLOOKUP(A47,[1]!TOX,67,FALSE))*1*0.000001*SQRT(6*$C47*'GW-1 Exp'!$U$27/PI()),(VLOOKUP(A47,[1]!TOX,67,FALSE))*1*0.000001*('GW-1 Exp'!$U$27/(1+$B47)+2*$C47*(1+3*$B47+3*$B47^2)/(1+$B47)^2))</f>
        <v>1.0588046826718805E-6</v>
      </c>
      <c r="AD47" s="837">
        <f>L47*IF('GW-1 Exp'!U$28&lt;=$E47,2*(VLOOKUP(A47,[1]!TOX,67,FALSE))*1*0.000001*SQRT(6*$C47*'GW-1 Exp'!$U$28/PI()),(VLOOKUP(A47,[1]!TOX,67,FALSE))*1*0.000001*('GW-1 Exp'!$U$28/(1+$B47)+2*$C47*(1+3*$B47+3*$B47^2)/(1+$B47)^2))</f>
        <v>1.115313432448967E-6</v>
      </c>
      <c r="AE47" s="839">
        <f>L47*IF('GW-1 Exp'!U$29&lt;=$E47,2*(VLOOKUP(A47,[1]!TOX,67,FALSE))*1*0.000001*SQRT(6*$C47*'GW-1 Exp'!$U$29/PI()),(VLOOKUP(A47,[1]!TOX,67,FALSE))*1*0.000001*('GW-1 Exp'!$U$29/(1+$B47)+2*$C47*(1+3*$B47+3*$B47^2)/(1+$B47)^2))</f>
        <v>1.2954961326456719E-6</v>
      </c>
    </row>
    <row r="48" spans="1:31" ht="20" x14ac:dyDescent="0.25">
      <c r="A48" s="510" t="s">
        <v>199</v>
      </c>
      <c r="B48" s="587">
        <f>(VLOOKUP(A48,[1]!TOX,67,FALSE))*(SQRT((VLOOKUP(A48,[1]!TOX,57,FALSE)))/2.6)</f>
        <v>3.5648413933538885</v>
      </c>
      <c r="C48" s="596">
        <f>('GW-1 Exp'!$O$29^2)/(6*D48)</f>
        <v>6.3481729416355934</v>
      </c>
      <c r="D48" s="486">
        <f>10^(-2.8-(0.0056*(VLOOKUP(A48,[1]!TOX,57,FALSE))))*'GW-1 Exp'!$O$29</f>
        <v>2.625427318993697E-8</v>
      </c>
      <c r="E48" s="597">
        <f t="shared" si="0"/>
        <v>27.185395009407472</v>
      </c>
      <c r="F48" s="597">
        <f>IF(B48&lt;=0.6,0,(G48-SQRT(G48^2-H48^2))*('GW-1 Exp'!$O$29^2/D48))</f>
        <v>27.185395009407472</v>
      </c>
      <c r="G48" s="582">
        <f t="shared" si="1"/>
        <v>9.6278775357539708</v>
      </c>
      <c r="H48" s="598">
        <f t="shared" si="2"/>
        <v>3.6378632805586975</v>
      </c>
      <c r="I48" s="606">
        <f>IF('GW-1 Exp'!$U$13&lt;=$E48,2*(VLOOKUP(A48,[1]!TOX,67,FALSE))*1*0.000001*SQRT(6*$C48*'GW-1 Exp'!$U$13/PI()),(VLOOKUP(A48,[1]!TOX,67,FALSE))*1*0.000001*('GW-1 Exp'!$U$13/(1+$B48)+2*$C48*(1+3*$B48+3*$B48^2)/(1+$B48)^2))</f>
        <v>2.7869558425718543E-6</v>
      </c>
      <c r="J48" s="607">
        <f>IF('GW-1 Exp'!$U$21&lt;=$E48,2*(VLOOKUP(A48,[1]!TOX,67,FALSE))*1*0.000001*SQRT(6*$C48*'GW-1 Exp'!$U$21/PI()),(VLOOKUP(A48,[1]!TOX,67,FALSE))*1*0.000001*('GW-1 Exp'!$U$21/(1+$B48)+2*$C48*(1+3*$B48+3*$B48^2)/(1+$B48)^2))</f>
        <v>3.1669661069378696E-6</v>
      </c>
      <c r="K48" s="482" t="s">
        <v>91</v>
      </c>
      <c r="L48" s="554">
        <v>0.8</v>
      </c>
      <c r="M48" s="481">
        <f t="shared" si="3"/>
        <v>2.2295646740574837E-6</v>
      </c>
      <c r="N48" s="483">
        <f t="shared" si="4"/>
        <v>2.5335728855502957E-6</v>
      </c>
      <c r="O48" s="486" t="str">
        <f>IF(VLOOKUP(A48,[1]!TOX,81,FALSE)="Y","Inorganic",IF(K48="*","Streamlined",IF($E48=0,"Reduced Steady State",IF('GW-1 Exp'!$U$13&lt;=$E48,"Non-Steady State","Steady State"))))</f>
        <v>Streamlined</v>
      </c>
      <c r="P48" s="485" t="str">
        <f>IF(VLOOKUP(A48,[1]!TOX,81,FALSE)="Y","Inorganic",IF(K48="*","Streamlined",IF($E48=0,0,IF('GW-1 Exp'!$U$21&lt;=$E48,"Non-Steady State","Steady State"))))</f>
        <v>Streamlined</v>
      </c>
      <c r="Q48" s="563">
        <f>IF(K48=0,0,IF((VLOOKUP(A48,[1]!TOX,67,FALSE))=0,0,IF((VLOOKUP(A48,[1]!TOX,67,FALSE))&lt;0.5,0.2,1)))</f>
        <v>1</v>
      </c>
      <c r="R48" s="614">
        <f>IF(K48=0,IF(M48=0,0,('[1]Target Risk'!$D$8*(VLOOKUP(A48,[1]!TOX,4,FALSE))*(VLOOKUP(A48,[1]!TOX,37,FALSE)))/('GW-1 Exp'!$V$13*'GW-1 Derm'!$M48)),('[1]Target Risk'!$D$8*(VLOOKUP(A48,[1]!TOX,4,FALSE))*(VLOOKUP(A48,[1]!TOX,37,FALSE)))/('GW-1 Exp'!$J$18*'GW-1 Derm'!$Q48))</f>
        <v>1.4597493131868133</v>
      </c>
      <c r="S48" s="574">
        <f>IF(OR(VLOOKUP(A48,[1]!TOX,12,FALSE)=0,VLOOKUP(A48,[1]!TOX,38,FALSE)=0),0,IF(K48=0,('[1]Target Risk'!$D$12*(VLOOKUP(A48,[1]!TOX,38,FALSE)))/('GW-1 Exp'!$V$21*'GW-1 Derm'!N48*(VLOOKUP(A48,[1]!TOX,12,FALSE))),IF(Q48=0,0,('[1]Target Risk'!$D$12*(VLOOKUP(A48,[1]!TOX,38,FALSE)))/('GW-1 Exp'!$J$26*'GW-1 Derm'!Q48*(VLOOKUP(A48,[1]!TOX,12,FALSE))))))</f>
        <v>9.7521565492043438E-2</v>
      </c>
      <c r="T48" s="575">
        <f>IF(OR(VLOOKUP(A48,[1]!TOX,12,FALSE)=0,VLOOKUP(A48,[1]!TOX,38,FALSE)=0),0,IF(NOT(VLOOKUP(A48,[1]!TOX,36,FALSE)="M"), IF(K48=0,('[1]Target Risk'!$D$12*(VLOOKUP(A48,[1]!TOX,38,FALSE)))/('GW-1 Exp'!$V$21*'GW-1 Derm'!N48*(VLOOKUP(A48,[1]!TOX,12,FALSE))),IF(Q48=0,0,('[1]Target Risk'!$D$12*(VLOOKUP(A48,[1]!TOX,38,FALSE)))/('GW-1 Exp'!$J$26*'GW-1 Derm'!Q48*(VLOOKUP(A48,[1]!TOX,12,FALSE))))), IF(K48=0,('[1]Target Risk'!$D$12*(VLOOKUP(A48,[1]!TOX,38,FALSE)))/(('GW-1 Exp'!$V$26*'GW-1 Derm'!AB48*(VLOOKUP(A48,[1]!TOX,12,FALSE))*10)+('GW-1 Exp'!$V$27*'GW-1 Derm'!AC48*(VLOOKUP(A48,[1]!TOX,12,FALSE))*3)+('GW-1 Exp'!$V$28*'GW-1 Derm'!AD48*(VLOOKUP(A48,[1]!TOX,12,FALSE))*3)+('GW-1 Exp'!$V$29*'GW-1 Derm'!AE48*(VLOOKUP(A48,[1]!TOX,12,FALSE))*1)),IF(Q48=0,0,(('[1]Target Risk'!$D$12*(VLOOKUP(A48,[1]!TOX,38,FALSE)))/(('GW-1 Exp'!$J$33*'GW-1 Derm'!Q48*(VLOOKUP(A48,[1]!TOX,12,FALSE))*10)+('GW-1 Exp'!$J$34*'GW-1 Derm'!Q48*(VLOOKUP(A48,[1]!TOX,12,FALSE))*3)+('GW-1 Exp'!$J$35*'GW-1 Derm'!Q48*(VLOOKUP(A48,[1]!TOX,12,FALSE))*3)+('GW-1 Exp'!$J$36*'GW-1 Derm'!Q48*(VLOOKUP(A48,[1]!TOX,12,FALSE))*1)))))))</f>
        <v>9.7521565492043438E-2</v>
      </c>
      <c r="AB48" s="838">
        <f>L48*IF('GW-1 Exp'!U$26&lt;=$E48,2*(VLOOKUP(A48,[1]!TOX,67,FALSE))*1*0.000001*SQRT(6*$C48*'GW-1 Exp'!$U$26/PI()),(VLOOKUP(A48,[1]!TOX,67,FALSE))*1*0.000001*('GW-1 Exp'!$U$26/(1+$B48)+2*$C48*(1+3*$B48+3*$B48^2)/(1+$B48)^2))</f>
        <v>2.0813746847195851E-6</v>
      </c>
      <c r="AC48" s="837">
        <f>L48*IF('GW-1 Exp'!U$27&lt;=$E48,2*(VLOOKUP(A48,[1]!TOX,67,FALSE))*1*0.000001*SQRT(6*$C48*'GW-1 Exp'!$U$27/PI()),(VLOOKUP(A48,[1]!TOX,67,FALSE))*1*0.000001*('GW-1 Exp'!$U$27/(1+$B48)+2*$C48*(1+3*$B48+3*$B48^2)/(1+$B48)^2))</f>
        <v>2.2584779423890319E-6</v>
      </c>
      <c r="AD48" s="837">
        <f>L48*IF('GW-1 Exp'!U$28&lt;=$E48,2*(VLOOKUP(A48,[1]!TOX,67,FALSE))*1*0.000001*SQRT(6*$C48*'GW-1 Exp'!$U$28/PI()),(VLOOKUP(A48,[1]!TOX,67,FALSE))*1*0.000001*('GW-1 Exp'!$U$28/(1+$B48)+2*$C48*(1+3*$B48+3*$B48^2)/(1+$B48)^2))</f>
        <v>2.379013643649319E-6</v>
      </c>
      <c r="AE48" s="839">
        <f>L48*IF('GW-1 Exp'!U$29&lt;=$E48,2*(VLOOKUP(A48,[1]!TOX,67,FALSE))*1*0.000001*SQRT(6*$C48*'GW-1 Exp'!$U$29/PI()),(VLOOKUP(A48,[1]!TOX,67,FALSE))*1*0.000001*('GW-1 Exp'!$U$29/(1+$B48)+2*$C48*(1+3*$B48+3*$B48^2)/(1+$B48)^2))</f>
        <v>2.7633514357409152E-6</v>
      </c>
    </row>
    <row r="49" spans="1:31" ht="20" x14ac:dyDescent="0.25">
      <c r="A49" s="510" t="s">
        <v>200</v>
      </c>
      <c r="B49" s="587">
        <f>(VLOOKUP(A49,[1]!TOX,67,FALSE))*(SQRT((VLOOKUP(A49,[1]!TOX,57,FALSE)))/2.6)</f>
        <v>4.3423845725873393</v>
      </c>
      <c r="C49" s="596">
        <f>('GW-1 Exp'!$O$29^2)/(6*D49)</f>
        <v>10.098311185649427</v>
      </c>
      <c r="D49" s="486">
        <f>10^(-2.8-(0.0056*(VLOOKUP(A49,[1]!TOX,57,FALSE))))*'GW-1 Exp'!$O$29</f>
        <v>1.6504409856522782E-8</v>
      </c>
      <c r="E49" s="597">
        <f t="shared" si="0"/>
        <v>43.854249851422459</v>
      </c>
      <c r="F49" s="597">
        <f>IF(B49&lt;=0.6,0,(G49-SQRT(G49^2-H49^2))*('GW-1 Exp'!$O$29^2/D49))</f>
        <v>43.854249851422459</v>
      </c>
      <c r="G49" s="582">
        <f t="shared" si="1"/>
        <v>13.765032663277248</v>
      </c>
      <c r="H49" s="598">
        <f t="shared" si="2"/>
        <v>4.4047786830831885</v>
      </c>
      <c r="I49" s="606">
        <f>IF('GW-1 Exp'!$U$13&lt;=$E49,2*(VLOOKUP(A49,[1]!TOX,67,FALSE))*1*0.000001*SQRT(6*$C49*'GW-1 Exp'!$U$13/PI()),(VLOOKUP(A49,[1]!TOX,67,FALSE))*1*0.000001*('GW-1 Exp'!$U$13/(1+$B49)+2*$C49*(1+3*$B49+3*$B49^2)/(1+$B49)^2))</f>
        <v>4.058168613709246E-6</v>
      </c>
      <c r="J49" s="607">
        <f>IF('GW-1 Exp'!$U$21&lt;=$E49,2*(VLOOKUP(A49,[1]!TOX,67,FALSE))*1*0.000001*SQRT(6*$C49*'GW-1 Exp'!$U$21/PI()),(VLOOKUP(A49,[1]!TOX,67,FALSE))*1*0.000001*('GW-1 Exp'!$U$21/(1+$B49)+2*$C49*(1+3*$B49+3*$B49^2)/(1+$B49)^2))</f>
        <v>4.6115127694294879E-6</v>
      </c>
      <c r="K49" s="482" t="s">
        <v>91</v>
      </c>
      <c r="L49" s="554">
        <v>0.7</v>
      </c>
      <c r="M49" s="481">
        <f t="shared" si="3"/>
        <v>2.840718029596472E-6</v>
      </c>
      <c r="N49" s="483">
        <f t="shared" si="4"/>
        <v>3.2280589386006412E-6</v>
      </c>
      <c r="O49" s="486" t="str">
        <f>IF(VLOOKUP(A49,[1]!TOX,81,FALSE)="Y","Inorganic",IF(K49="*","Streamlined",IF($E49=0,"Reduced Steady State",IF('GW-1 Exp'!$U$13&lt;=$E49,"Non-Steady State","Steady State"))))</f>
        <v>Streamlined</v>
      </c>
      <c r="P49" s="485" t="str">
        <f>IF(VLOOKUP(A49,[1]!TOX,81,FALSE)="Y","Inorganic",IF(K49="*","Streamlined",IF($E49=0,0,IF('GW-1 Exp'!$U$21&lt;=$E49,"Non-Steady State","Steady State"))))</f>
        <v>Streamlined</v>
      </c>
      <c r="Q49" s="563">
        <f>IF(K49=0,0,IF((VLOOKUP(A49,[1]!TOX,67,FALSE))=0,0,IF((VLOOKUP(A49,[1]!TOX,67,FALSE))&lt;0.5,0.2,1)))</f>
        <v>1</v>
      </c>
      <c r="R49" s="614">
        <f>IF(K49=0,IF(M49=0,0,('[1]Target Risk'!$D$8*(VLOOKUP(A49,[1]!TOX,4,FALSE))*(VLOOKUP(A49,[1]!TOX,37,FALSE)))/('GW-1 Exp'!$V$13*'GW-1 Derm'!$M49)),('[1]Target Risk'!$D$8*(VLOOKUP(A49,[1]!TOX,4,FALSE))*(VLOOKUP(A49,[1]!TOX,37,FALSE)))/('GW-1 Exp'!$J$18*'GW-1 Derm'!$Q49))</f>
        <v>1.4597493131868133</v>
      </c>
      <c r="S49" s="574">
        <f>IF(OR(VLOOKUP(A49,[1]!TOX,12,FALSE)=0,VLOOKUP(A49,[1]!TOX,38,FALSE)=0),0,IF(K49=0,('[1]Target Risk'!$D$12*(VLOOKUP(A49,[1]!TOX,38,FALSE)))/('GW-1 Exp'!$V$21*'GW-1 Derm'!N49*(VLOOKUP(A49,[1]!TOX,12,FALSE))),IF(Q49=0,0,('[1]Target Risk'!$D$12*(VLOOKUP(A49,[1]!TOX,38,FALSE)))/('GW-1 Exp'!$J$26*'GW-1 Derm'!Q49*(VLOOKUP(A49,[1]!TOX,12,FALSE))))))</f>
        <v>9.7521565492043438E-2</v>
      </c>
      <c r="T49" s="575">
        <f>IF(OR(VLOOKUP(A49,[1]!TOX,12,FALSE)=0,VLOOKUP(A49,[1]!TOX,38,FALSE)=0),0,IF(NOT(VLOOKUP(A49,[1]!TOX,36,FALSE)="M"), IF(K49=0,('[1]Target Risk'!$D$12*(VLOOKUP(A49,[1]!TOX,38,FALSE)))/('GW-1 Exp'!$V$21*'GW-1 Derm'!N49*(VLOOKUP(A49,[1]!TOX,12,FALSE))),IF(Q49=0,0,('[1]Target Risk'!$D$12*(VLOOKUP(A49,[1]!TOX,38,FALSE)))/('GW-1 Exp'!$J$26*'GW-1 Derm'!Q49*(VLOOKUP(A49,[1]!TOX,12,FALSE))))), IF(K49=0,('[1]Target Risk'!$D$12*(VLOOKUP(A49,[1]!TOX,38,FALSE)))/(('GW-1 Exp'!$V$26*'GW-1 Derm'!AB49*(VLOOKUP(A49,[1]!TOX,12,FALSE))*10)+('GW-1 Exp'!$V$27*'GW-1 Derm'!AC49*(VLOOKUP(A49,[1]!TOX,12,FALSE))*3)+('GW-1 Exp'!$V$28*'GW-1 Derm'!AD49*(VLOOKUP(A49,[1]!TOX,12,FALSE))*3)+('GW-1 Exp'!$V$29*'GW-1 Derm'!AE49*(VLOOKUP(A49,[1]!TOX,12,FALSE))*1)),IF(Q49=0,0,(('[1]Target Risk'!$D$12*(VLOOKUP(A49,[1]!TOX,38,FALSE)))/(('GW-1 Exp'!$J$33*'GW-1 Derm'!Q49*(VLOOKUP(A49,[1]!TOX,12,FALSE))*10)+('GW-1 Exp'!$J$34*'GW-1 Derm'!Q49*(VLOOKUP(A49,[1]!TOX,12,FALSE))*3)+('GW-1 Exp'!$J$35*'GW-1 Derm'!Q49*(VLOOKUP(A49,[1]!TOX,12,FALSE))*3)+('GW-1 Exp'!$J$36*'GW-1 Derm'!Q49*(VLOOKUP(A49,[1]!TOX,12,FALSE))*1)))))))</f>
        <v>9.7521565492043438E-2</v>
      </c>
      <c r="AB49" s="838">
        <f>L49*IF('GW-1 Exp'!U$26&lt;=$E49,2*(VLOOKUP(A49,[1]!TOX,67,FALSE))*1*0.000001*SQRT(6*$C49*'GW-1 Exp'!$U$26/PI()),(VLOOKUP(A49,[1]!TOX,67,FALSE))*1*0.000001*('GW-1 Exp'!$U$26/(1+$B49)+2*$C49*(1+3*$B49+3*$B49^2)/(1+$B49)^2))</f>
        <v>2.6519071915812733E-6</v>
      </c>
      <c r="AC49" s="837">
        <f>L49*IF('GW-1 Exp'!U$27&lt;=$E49,2*(VLOOKUP(A49,[1]!TOX,67,FALSE))*1*0.000001*SQRT(6*$C49*'GW-1 Exp'!$U$27/PI()),(VLOOKUP(A49,[1]!TOX,67,FALSE))*1*0.000001*('GW-1 Exp'!$U$27/(1+$B49)+2*$C49*(1+3*$B49+3*$B49^2)/(1+$B49)^2))</f>
        <v>2.8775568096505697E-6</v>
      </c>
      <c r="AD49" s="837">
        <f>L49*IF('GW-1 Exp'!U$28&lt;=$E49,2*(VLOOKUP(A49,[1]!TOX,67,FALSE))*1*0.000001*SQRT(6*$C49*'GW-1 Exp'!$U$28/PI()),(VLOOKUP(A49,[1]!TOX,67,FALSE))*1*0.000001*('GW-1 Exp'!$U$28/(1+$B49)+2*$C49*(1+3*$B49+3*$B49^2)/(1+$B49)^2))</f>
        <v>3.031132951111862E-6</v>
      </c>
      <c r="AE49" s="839">
        <f>L49*IF('GW-1 Exp'!U$29&lt;=$E49,2*(VLOOKUP(A49,[1]!TOX,67,FALSE))*1*0.000001*SQRT(6*$C49*'GW-1 Exp'!$U$29/PI()),(VLOOKUP(A49,[1]!TOX,67,FALSE))*1*0.000001*('GW-1 Exp'!$U$29/(1+$B49)+2*$C49*(1+3*$B49+3*$B49^2)/(1+$B49)^2))</f>
        <v>3.5208228480472078E-6</v>
      </c>
    </row>
    <row r="50" spans="1:31" x14ac:dyDescent="0.25">
      <c r="A50" s="540" t="s">
        <v>201</v>
      </c>
      <c r="B50" s="587">
        <f>(VLOOKUP(A50,[1]!TOX,67,FALSE))*(SQRT((VLOOKUP(A50,[1]!TOX,57,FALSE)))/2.6)</f>
        <v>2.569474129123963E-2</v>
      </c>
      <c r="C50" s="596">
        <f>('GW-1 Exp'!$O$29^2)/(6*D50)</f>
        <v>0.37691962435139414</v>
      </c>
      <c r="D50" s="486">
        <f>10^(-2.8-(0.0056*(VLOOKUP(A50,[1]!TOX,57,FALSE))))*'GW-1 Exp'!$O$29</f>
        <v>4.4218092107426823E-7</v>
      </c>
      <c r="E50" s="597">
        <f t="shared" si="0"/>
        <v>0.90460709844334586</v>
      </c>
      <c r="F50" s="597">
        <f>IF(B50&lt;=0.6,0,(G50-SQRT(G50^2-H50^2))*('GW-1 Exp'!$O$29^2/D50))</f>
        <v>0</v>
      </c>
      <c r="G50" s="582">
        <f t="shared" si="1"/>
        <v>0.31907792096959164</v>
      </c>
      <c r="H50" s="598">
        <f t="shared" si="2"/>
        <v>0.35067772103597583</v>
      </c>
      <c r="I50" s="606">
        <f>IF('GW-1 Exp'!$U$13&lt;=$E50,2*(VLOOKUP(A50,[1]!TOX,67,FALSE))*1*0.000001*SQRT(6*$C50*'GW-1 Exp'!$U$13/PI()),(VLOOKUP(A50,[1]!TOX,67,FALSE))*1*0.000001*('GW-1 Exp'!$U$13/(1+$B50)+2*$C50*(1+3*$B50+3*$B50^2)/(1+$B50)^2))</f>
        <v>8.7726355549303578E-9</v>
      </c>
      <c r="J50" s="607">
        <f>IF('GW-1 Exp'!$U$21&lt;=$E50,2*(VLOOKUP(A50,[1]!TOX,67,FALSE))*1*0.000001*SQRT(6*$C50*'GW-1 Exp'!$U$21/PI()),(VLOOKUP(A50,[1]!TOX,67,FALSE))*1*0.000001*('GW-1 Exp'!$U$21/(1+$B50)+2*$C50*(1+3*$B50+3*$B50^2)/(1+$B50)^2))</f>
        <v>9.9688122239296795E-9</v>
      </c>
      <c r="K50" s="482"/>
      <c r="L50" s="554">
        <v>1</v>
      </c>
      <c r="M50" s="481">
        <f t="shared" si="3"/>
        <v>8.7726355549303578E-9</v>
      </c>
      <c r="N50" s="483">
        <f t="shared" si="4"/>
        <v>9.9688122239296795E-9</v>
      </c>
      <c r="O50" s="486" t="str">
        <f>IF(VLOOKUP(A50,[1]!TOX,81,FALSE)="Y","Inorganic",IF(K50="*","Streamlined",IF($E50=0,"Reduced Steady State",IF('GW-1 Exp'!$U$13&lt;=$E50,"Non-Steady State","Steady State"))))</f>
        <v>Non-Steady State</v>
      </c>
      <c r="P50" s="485" t="str">
        <f>IF(VLOOKUP(A50,[1]!TOX,81,FALSE)="Y","Inorganic",IF(K50="*","Streamlined",IF($E50=0,0,IF('GW-1 Exp'!$U$21&lt;=$E50,"Non-Steady State","Steady State"))))</f>
        <v>Non-Steady State</v>
      </c>
      <c r="Q50" s="563">
        <f>IF(K50=0,0,IF((VLOOKUP(A50,[1]!TOX,67,FALSE))=0,0,IF((VLOOKUP(A50,[1]!TOX,67,FALSE))&lt;0.5,0.2,1)))</f>
        <v>0</v>
      </c>
      <c r="R50" s="614">
        <f>IF(K50=0,IF(M50=0,0,('[1]Target Risk'!$D$8*(VLOOKUP(A50,[1]!TOX,4,FALSE))*(VLOOKUP(A50,[1]!TOX,37,FALSE)))/('GW-1 Exp'!$V$13*'GW-1 Derm'!$M50)),('[1]Target Risk'!$D$8*(VLOOKUP(A50,[1]!TOX,4,FALSE))*(VLOOKUP(A50,[1]!TOX,37,FALSE)))/('GW-1 Exp'!$J$18*'GW-1 Derm'!$Q50))</f>
        <v>8420.1432889805947</v>
      </c>
      <c r="S50" s="574">
        <f>IF(OR(VLOOKUP(A50,[1]!TOX,12,FALSE)=0,VLOOKUP(A50,[1]!TOX,38,FALSE)=0),0,IF(K50=0,('[1]Target Risk'!$D$12*(VLOOKUP(A50,[1]!TOX,38,FALSE)))/('GW-1 Exp'!$V$21*'GW-1 Derm'!N50*(VLOOKUP(A50,[1]!TOX,12,FALSE))),IF(Q50=0,0,('[1]Target Risk'!$D$12*(VLOOKUP(A50,[1]!TOX,38,FALSE)))/('GW-1 Exp'!$J$26*'GW-1 Derm'!Q50*(VLOOKUP(A50,[1]!TOX,12,FALSE))))))</f>
        <v>0</v>
      </c>
      <c r="T50" s="575">
        <f>IF(OR(VLOOKUP(A50,[1]!TOX,12,FALSE)=0,VLOOKUP(A50,[1]!TOX,38,FALSE)=0),0,IF(NOT(VLOOKUP(A50,[1]!TOX,36,FALSE)="M"), IF(K50=0,('[1]Target Risk'!$D$12*(VLOOKUP(A50,[1]!TOX,38,FALSE)))/('GW-1 Exp'!$V$21*'GW-1 Derm'!N50*(VLOOKUP(A50,[1]!TOX,12,FALSE))),IF(Q50=0,0,('[1]Target Risk'!$D$12*(VLOOKUP(A50,[1]!TOX,38,FALSE)))/('GW-1 Exp'!$J$26*'GW-1 Derm'!Q50*(VLOOKUP(A50,[1]!TOX,12,FALSE))))), IF(K50=0,('[1]Target Risk'!$D$12*(VLOOKUP(A50,[1]!TOX,38,FALSE)))/(('GW-1 Exp'!$V$26*'GW-1 Derm'!AB50*(VLOOKUP(A50,[1]!TOX,12,FALSE))*10)+('GW-1 Exp'!$V$27*'GW-1 Derm'!AC50*(VLOOKUP(A50,[1]!TOX,12,FALSE))*3)+('GW-1 Exp'!$V$28*'GW-1 Derm'!AD50*(VLOOKUP(A50,[1]!TOX,12,FALSE))*3)+('GW-1 Exp'!$V$29*'GW-1 Derm'!AE50*(VLOOKUP(A50,[1]!TOX,12,FALSE))*1)),IF(Q50=0,0,(('[1]Target Risk'!$D$12*(VLOOKUP(A50,[1]!TOX,38,FALSE)))/(('GW-1 Exp'!$J$33*'GW-1 Derm'!Q50*(VLOOKUP(A50,[1]!TOX,12,FALSE))*10)+('GW-1 Exp'!$J$34*'GW-1 Derm'!Q50*(VLOOKUP(A50,[1]!TOX,12,FALSE))*3)+('GW-1 Exp'!$J$35*'GW-1 Derm'!Q50*(VLOOKUP(A50,[1]!TOX,12,FALSE))*3)+('GW-1 Exp'!$J$36*'GW-1 Derm'!Q50*(VLOOKUP(A50,[1]!TOX,12,FALSE))*1)))))))</f>
        <v>0</v>
      </c>
      <c r="AB50" s="838">
        <f>L50*IF('GW-1 Exp'!U$26&lt;=$E50,2*(VLOOKUP(A50,[1]!TOX,67,FALSE))*1*0.000001*SQRT(6*$C50*'GW-1 Exp'!$U$26/PI()),(VLOOKUP(A50,[1]!TOX,67,FALSE))*1*0.000001*('GW-1 Exp'!$U$26/(1+$B50)+2*$C50*(1+3*$B50+3*$B50^2)/(1+$B50)^2))</f>
        <v>8.1895545685490309E-9</v>
      </c>
      <c r="AC50" s="837">
        <f>L50*IF('GW-1 Exp'!U$27&lt;=$E50,2*(VLOOKUP(A50,[1]!TOX,67,FALSE))*1*0.000001*SQRT(6*$C50*'GW-1 Exp'!$U$27/PI()),(VLOOKUP(A50,[1]!TOX,67,FALSE))*1*0.000001*('GW-1 Exp'!$U$27/(1+$B50)+2*$C50*(1+3*$B50+3*$B50^2)/(1+$B50)^2))</f>
        <v>8.8864001694875963E-9</v>
      </c>
      <c r="AD50" s="837">
        <f>L50*IF('GW-1 Exp'!U$28&lt;=$E50,2*(VLOOKUP(A50,[1]!TOX,67,FALSE))*1*0.000001*SQRT(6*$C50*'GW-1 Exp'!$U$28/PI()),(VLOOKUP(A50,[1]!TOX,67,FALSE))*1*0.000001*('GW-1 Exp'!$U$28/(1+$B50)+2*$C50*(1+3*$B50+3*$B50^2)/(1+$B50)^2))</f>
        <v>9.3606702325264566E-9</v>
      </c>
      <c r="AE50" s="839">
        <f>L50*IF('GW-1 Exp'!U$29&lt;=$E50,2*(VLOOKUP(A50,[1]!TOX,67,FALSE))*1*0.000001*SQRT(6*$C50*'GW-1 Exp'!$U$29/PI()),(VLOOKUP(A50,[1]!TOX,67,FALSE))*1*0.000001*('GW-1 Exp'!$U$29/(1+$B50)+2*$C50*(1+3*$B50+3*$B50^2)/(1+$B50)^2))</f>
        <v>1.1153082682687084E-8</v>
      </c>
    </row>
    <row r="51" spans="1:31" x14ac:dyDescent="0.25">
      <c r="A51" s="540" t="s">
        <v>202</v>
      </c>
      <c r="B51" s="587">
        <f>(VLOOKUP(A51,[1]!TOX,67,FALSE))*(SQRT((VLOOKUP(A51,[1]!TOX,57,FALSE)))/2.6)</f>
        <v>7.7347138136499311E-3</v>
      </c>
      <c r="C51" s="596">
        <f>('GW-1 Exp'!$O$29^2)/(6*D51)</f>
        <v>0.37691962435139414</v>
      </c>
      <c r="D51" s="486">
        <f>10^(-2.8-(0.0056*(VLOOKUP(A51,[1]!TOX,57,FALSE))))*'GW-1 Exp'!$O$29</f>
        <v>4.4218092107426823E-7</v>
      </c>
      <c r="E51" s="597">
        <f t="shared" si="0"/>
        <v>0.90460709844334586</v>
      </c>
      <c r="F51" s="597">
        <f>IF(B51&lt;=0.6,0,(G51-SQRT(G51^2-H51^2))*('GW-1 Exp'!$O$29^2/D51))</f>
        <v>0</v>
      </c>
      <c r="G51" s="582">
        <f t="shared" si="1"/>
        <v>0.30799640406765694</v>
      </c>
      <c r="H51" s="598">
        <f t="shared" si="2"/>
        <v>0.33850959808043657</v>
      </c>
      <c r="I51" s="606">
        <f>IF('GW-1 Exp'!$U$13&lt;=$E51,2*(VLOOKUP(A51,[1]!TOX,67,FALSE))*1*0.000001*SQRT(6*$C51*'GW-1 Exp'!$U$13/PI()),(VLOOKUP(A51,[1]!TOX,67,FALSE))*1*0.000001*('GW-1 Exp'!$U$13/(1+$B51)+2*$C51*(1+3*$B51+3*$B51^2)/(1+$B51)^2))</f>
        <v>2.6407670207588531E-9</v>
      </c>
      <c r="J51" s="607">
        <f>IF('GW-1 Exp'!$U$21&lt;=$E51,2*(VLOOKUP(A51,[1]!TOX,67,FALSE))*1*0.000001*SQRT(6*$C51*'GW-1 Exp'!$U$21/PI()),(VLOOKUP(A51,[1]!TOX,67,FALSE))*1*0.000001*('GW-1 Exp'!$U$21/(1+$B51)+2*$C51*(1+3*$B51+3*$B51^2)/(1+$B51)^2))</f>
        <v>3.0008439758216085E-9</v>
      </c>
      <c r="K51" s="482"/>
      <c r="L51" s="554">
        <v>1</v>
      </c>
      <c r="M51" s="481">
        <f t="shared" si="3"/>
        <v>2.6407670207588531E-9</v>
      </c>
      <c r="N51" s="483">
        <f t="shared" si="4"/>
        <v>3.0008439758216085E-9</v>
      </c>
      <c r="O51" s="486" t="str">
        <f>IF(VLOOKUP(A51,[1]!TOX,81,FALSE)="Y","Inorganic",IF(K51="*","Streamlined",IF($E51=0,"Reduced Steady State",IF('GW-1 Exp'!$U$13&lt;=$E51,"Non-Steady State","Steady State"))))</f>
        <v>Non-Steady State</v>
      </c>
      <c r="P51" s="485" t="str">
        <f>IF(VLOOKUP(A51,[1]!TOX,81,FALSE)="Y","Inorganic",IF(K51="*","Streamlined",IF($E51=0,0,IF('GW-1 Exp'!$U$21&lt;=$E51,"Non-Steady State","Steady State"))))</f>
        <v>Non-Steady State</v>
      </c>
      <c r="Q51" s="563">
        <f>IF(K51=0,0,IF((VLOOKUP(A51,[1]!TOX,67,FALSE))=0,0,IF((VLOOKUP(A51,[1]!TOX,67,FALSE))&lt;0.5,0.2,1)))</f>
        <v>0</v>
      </c>
      <c r="R51" s="614">
        <f>IF(K51=0,IF(M51=0,0,('[1]Target Risk'!$D$8*(VLOOKUP(A51,[1]!TOX,4,FALSE))*(VLOOKUP(A51,[1]!TOX,37,FALSE)))/('GW-1 Exp'!$V$13*'GW-1 Derm'!$M51)),('[1]Target Risk'!$D$8*(VLOOKUP(A51,[1]!TOX,4,FALSE))*(VLOOKUP(A51,[1]!TOX,37,FALSE)))/('GW-1 Exp'!$J$18*'GW-1 Derm'!$Q51))</f>
        <v>3729.5653277429451</v>
      </c>
      <c r="S51" s="574">
        <f>IF(OR(VLOOKUP(A51,[1]!TOX,12,FALSE)=0,VLOOKUP(A51,[1]!TOX,38,FALSE)=0),0,IF(K51=0,('[1]Target Risk'!$D$12*(VLOOKUP(A51,[1]!TOX,38,FALSE)))/('GW-1 Exp'!$V$21*'GW-1 Derm'!N51*(VLOOKUP(A51,[1]!TOX,12,FALSE))),IF(Q51=0,0,('[1]Target Risk'!$D$12*(VLOOKUP(A51,[1]!TOX,38,FALSE)))/('GW-1 Exp'!$J$26*'GW-1 Derm'!Q51*(VLOOKUP(A51,[1]!TOX,12,FALSE))))))</f>
        <v>27.382610982582605</v>
      </c>
      <c r="T51" s="575">
        <f>IF(OR(VLOOKUP(A51,[1]!TOX,12,FALSE)=0,VLOOKUP(A51,[1]!TOX,38,FALSE)=0),0,IF(NOT(VLOOKUP(A51,[1]!TOX,36,FALSE)="M"), IF(K51=0,('[1]Target Risk'!$D$12*(VLOOKUP(A51,[1]!TOX,38,FALSE)))/('GW-1 Exp'!$V$21*'GW-1 Derm'!N51*(VLOOKUP(A51,[1]!TOX,12,FALSE))),IF(Q51=0,0,('[1]Target Risk'!$D$12*(VLOOKUP(A51,[1]!TOX,38,FALSE)))/('GW-1 Exp'!$J$26*'GW-1 Derm'!Q51*(VLOOKUP(A51,[1]!TOX,12,FALSE))))), IF(K51=0,('[1]Target Risk'!$D$12*(VLOOKUP(A51,[1]!TOX,38,FALSE)))/(('GW-1 Exp'!$V$26*'GW-1 Derm'!AB51*(VLOOKUP(A51,[1]!TOX,12,FALSE))*10)+('GW-1 Exp'!$V$27*'GW-1 Derm'!AC51*(VLOOKUP(A51,[1]!TOX,12,FALSE))*3)+('GW-1 Exp'!$V$28*'GW-1 Derm'!AD51*(VLOOKUP(A51,[1]!TOX,12,FALSE))*3)+('GW-1 Exp'!$V$29*'GW-1 Derm'!AE51*(VLOOKUP(A51,[1]!TOX,12,FALSE))*1)),IF(Q51=0,0,(('[1]Target Risk'!$D$12*(VLOOKUP(A51,[1]!TOX,38,FALSE)))/(('GW-1 Exp'!$J$33*'GW-1 Derm'!Q51*(VLOOKUP(A51,[1]!TOX,12,FALSE))*10)+('GW-1 Exp'!$J$34*'GW-1 Derm'!Q51*(VLOOKUP(A51,[1]!TOX,12,FALSE))*3)+('GW-1 Exp'!$J$35*'GW-1 Derm'!Q51*(VLOOKUP(A51,[1]!TOX,12,FALSE))*3)+('GW-1 Exp'!$J$36*'GW-1 Derm'!Q51*(VLOOKUP(A51,[1]!TOX,12,FALSE))*1)))))))</f>
        <v>27.382610982582605</v>
      </c>
      <c r="AB51" s="838">
        <f>L51*IF('GW-1 Exp'!U$26&lt;=$E51,2*(VLOOKUP(A51,[1]!TOX,67,FALSE))*1*0.000001*SQRT(6*$C51*'GW-1 Exp'!$U$26/PI()),(VLOOKUP(A51,[1]!TOX,67,FALSE))*1*0.000001*('GW-1 Exp'!$U$26/(1+$B51)+2*$C51*(1+3*$B51+3*$B51^2)/(1+$B51)^2))</f>
        <v>2.4652461035127279E-9</v>
      </c>
      <c r="AC51" s="837">
        <f>L51*IF('GW-1 Exp'!U$27&lt;=$E51,2*(VLOOKUP(A51,[1]!TOX,67,FALSE))*1*0.000001*SQRT(6*$C51*'GW-1 Exp'!$U$27/PI()),(VLOOKUP(A51,[1]!TOX,67,FALSE))*1*0.000001*('GW-1 Exp'!$U$27/(1+$B51)+2*$C51*(1+3*$B51+3*$B51^2)/(1+$B51)^2))</f>
        <v>2.675012811590008E-9</v>
      </c>
      <c r="AD51" s="837">
        <f>L51*IF('GW-1 Exp'!U$28&lt;=$E51,2*(VLOOKUP(A51,[1]!TOX,67,FALSE))*1*0.000001*SQRT(6*$C51*'GW-1 Exp'!$U$28/PI()),(VLOOKUP(A51,[1]!TOX,67,FALSE))*1*0.000001*('GW-1 Exp'!$U$28/(1+$B51)+2*$C51*(1+3*$B51+3*$B51^2)/(1+$B51)^2))</f>
        <v>2.8177791140955711E-9</v>
      </c>
      <c r="AE51" s="839">
        <f>L51*IF('GW-1 Exp'!U$29&lt;=$E51,2*(VLOOKUP(A51,[1]!TOX,67,FALSE))*1*0.000001*SQRT(6*$C51*'GW-1 Exp'!$U$29/PI()),(VLOOKUP(A51,[1]!TOX,67,FALSE))*1*0.000001*('GW-1 Exp'!$U$29/(1+$B51)+2*$C51*(1+3*$B51+3*$B51^2)/(1+$B51)^2))</f>
        <v>3.3619797834057957E-9</v>
      </c>
    </row>
    <row r="52" spans="1:31" x14ac:dyDescent="0.25">
      <c r="A52" s="540" t="s">
        <v>203</v>
      </c>
      <c r="B52" s="587">
        <f>(VLOOKUP(A52,[1]!TOX,67,FALSE))*(SQRT((VLOOKUP(A52,[1]!TOX,57,FALSE)))/2.6)</f>
        <v>1.6293430001152933E-2</v>
      </c>
      <c r="C52" s="596">
        <f>('GW-1 Exp'!$O$29^2)/(6*D52)</f>
        <v>0.36732353030168502</v>
      </c>
      <c r="D52" s="486">
        <f>10^(-2.8-(0.0056*(VLOOKUP(A52,[1]!TOX,57,FALSE))))*'GW-1 Exp'!$O$29</f>
        <v>4.5373261693794112E-7</v>
      </c>
      <c r="E52" s="597">
        <f t="shared" si="0"/>
        <v>0.88157647272404405</v>
      </c>
      <c r="F52" s="597">
        <f>IF(B52&lt;=0.6,0,(G52-SQRT(G52^2-H52^2))*('GW-1 Exp'!$O$29^2/D52))</f>
        <v>0</v>
      </c>
      <c r="G52" s="582">
        <f t="shared" si="1"/>
        <v>0.31325152571386122</v>
      </c>
      <c r="H52" s="598">
        <f t="shared" si="2"/>
        <v>0.34428269323289024</v>
      </c>
      <c r="I52" s="606">
        <f>IF('GW-1 Exp'!$U$13&lt;=$E52,2*(VLOOKUP(A52,[1]!TOX,67,FALSE))*1*0.000001*SQRT(6*$C52*'GW-1 Exp'!$U$13/PI()),(VLOOKUP(A52,[1]!TOX,67,FALSE))*1*0.000001*('GW-1 Exp'!$U$13/(1+$B52)+2*$C52*(1+3*$B52+3*$B52^2)/(1+$B52)^2))</f>
        <v>5.5479186927423562E-9</v>
      </c>
      <c r="J52" s="607">
        <f>IF('GW-1 Exp'!$U$21&lt;=$E52,2*(VLOOKUP(A52,[1]!TOX,67,FALSE))*1*0.000001*SQRT(6*$C52*'GW-1 Exp'!$U$21/PI()),(VLOOKUP(A52,[1]!TOX,67,FALSE))*1*0.000001*('GW-1 Exp'!$U$21/(1+$B52)+2*$C52*(1+3*$B52+3*$B52^2)/(1+$B52)^2))</f>
        <v>6.3043949945572549E-9</v>
      </c>
      <c r="K52" s="482"/>
      <c r="L52" s="554">
        <v>1</v>
      </c>
      <c r="M52" s="481">
        <f t="shared" si="3"/>
        <v>5.5479186927423562E-9</v>
      </c>
      <c r="N52" s="483">
        <f t="shared" si="4"/>
        <v>6.3043949945572549E-9</v>
      </c>
      <c r="O52" s="486" t="str">
        <f>IF(VLOOKUP(A52,[1]!TOX,81,FALSE)="Y","Inorganic",IF(K52="*","Streamlined",IF($E52=0,"Reduced Steady State",IF('GW-1 Exp'!$U$13&lt;=$E52,"Non-Steady State","Steady State"))))</f>
        <v>Non-Steady State</v>
      </c>
      <c r="P52" s="485" t="str">
        <f>IF(VLOOKUP(A52,[1]!TOX,81,FALSE)="Y","Inorganic",IF(K52="*","Streamlined",IF($E52=0,0,IF('GW-1 Exp'!$U$21&lt;=$E52,"Non-Steady State","Steady State"))))</f>
        <v>Non-Steady State</v>
      </c>
      <c r="Q52" s="563">
        <f>IF(K52=0,0,IF((VLOOKUP(A52,[1]!TOX,67,FALSE))=0,0,IF((VLOOKUP(A52,[1]!TOX,67,FALSE))&lt;0.5,0.2,1)))</f>
        <v>0</v>
      </c>
      <c r="R52" s="614">
        <f>IF(K52=0,IF(M52=0,0,('[1]Target Risk'!$D$8*(VLOOKUP(A52,[1]!TOX,4,FALSE))*(VLOOKUP(A52,[1]!TOX,37,FALSE)))/('GW-1 Exp'!$V$13*'GW-1 Derm'!$M52)),('[1]Target Risk'!$D$8*(VLOOKUP(A52,[1]!TOX,4,FALSE))*(VLOOKUP(A52,[1]!TOX,37,FALSE)))/('GW-1 Exp'!$J$18*'GW-1 Derm'!$Q52))</f>
        <v>4438.11168869208</v>
      </c>
      <c r="S52" s="574">
        <f>IF(OR(VLOOKUP(A52,[1]!TOX,12,FALSE)=0,VLOOKUP(A52,[1]!TOX,38,FALSE)=0),0,IF(K52=0,('[1]Target Risk'!$D$12*(VLOOKUP(A52,[1]!TOX,38,FALSE)))/('GW-1 Exp'!$V$21*'GW-1 Derm'!N52*(VLOOKUP(A52,[1]!TOX,12,FALSE))),IF(Q52=0,0,('[1]Target Risk'!$D$12*(VLOOKUP(A52,[1]!TOX,38,FALSE)))/('GW-1 Exp'!$J$26*'GW-1 Derm'!Q52*(VLOOKUP(A52,[1]!TOX,12,FALSE))))))</f>
        <v>0</v>
      </c>
      <c r="T52" s="575">
        <f>IF(OR(VLOOKUP(A52,[1]!TOX,12,FALSE)=0,VLOOKUP(A52,[1]!TOX,38,FALSE)=0),0,IF(NOT(VLOOKUP(A52,[1]!TOX,36,FALSE)="M"), IF(K52=0,('[1]Target Risk'!$D$12*(VLOOKUP(A52,[1]!TOX,38,FALSE)))/('GW-1 Exp'!$V$21*'GW-1 Derm'!N52*(VLOOKUP(A52,[1]!TOX,12,FALSE))),IF(Q52=0,0,('[1]Target Risk'!$D$12*(VLOOKUP(A52,[1]!TOX,38,FALSE)))/('GW-1 Exp'!$J$26*'GW-1 Derm'!Q52*(VLOOKUP(A52,[1]!TOX,12,FALSE))))), IF(K52=0,('[1]Target Risk'!$D$12*(VLOOKUP(A52,[1]!TOX,38,FALSE)))/(('GW-1 Exp'!$V$26*'GW-1 Derm'!AB52*(VLOOKUP(A52,[1]!TOX,12,FALSE))*10)+('GW-1 Exp'!$V$27*'GW-1 Derm'!AC52*(VLOOKUP(A52,[1]!TOX,12,FALSE))*3)+('GW-1 Exp'!$V$28*'GW-1 Derm'!AD52*(VLOOKUP(A52,[1]!TOX,12,FALSE))*3)+('GW-1 Exp'!$V$29*'GW-1 Derm'!AE52*(VLOOKUP(A52,[1]!TOX,12,FALSE))*1)),IF(Q52=0,0,(('[1]Target Risk'!$D$12*(VLOOKUP(A52,[1]!TOX,38,FALSE)))/(('GW-1 Exp'!$J$33*'GW-1 Derm'!Q52*(VLOOKUP(A52,[1]!TOX,12,FALSE))*10)+('GW-1 Exp'!$J$34*'GW-1 Derm'!Q52*(VLOOKUP(A52,[1]!TOX,12,FALSE))*3)+('GW-1 Exp'!$J$35*'GW-1 Derm'!Q52*(VLOOKUP(A52,[1]!TOX,12,FALSE))*3)+('GW-1 Exp'!$J$36*'GW-1 Derm'!Q52*(VLOOKUP(A52,[1]!TOX,12,FALSE))*1)))))))</f>
        <v>0</v>
      </c>
      <c r="AB52" s="838">
        <f>L52*IF('GW-1 Exp'!U$26&lt;=$E52,2*(VLOOKUP(A52,[1]!TOX,67,FALSE))*1*0.000001*SQRT(6*$C52*'GW-1 Exp'!$U$26/PI()),(VLOOKUP(A52,[1]!TOX,67,FALSE))*1*0.000001*('GW-1 Exp'!$U$26/(1+$B52)+2*$C52*(1+3*$B52+3*$B52^2)/(1+$B52)^2))</f>
        <v>5.1791713666426692E-9</v>
      </c>
      <c r="AC52" s="837">
        <f>L52*IF('GW-1 Exp'!U$27&lt;=$E52,2*(VLOOKUP(A52,[1]!TOX,67,FALSE))*1*0.000001*SQRT(6*$C52*'GW-1 Exp'!$U$27/PI()),(VLOOKUP(A52,[1]!TOX,67,FALSE))*1*0.000001*('GW-1 Exp'!$U$27/(1+$B52)+2*$C52*(1+3*$B52+3*$B52^2)/(1+$B52)^2))</f>
        <v>5.6198647832556004E-9</v>
      </c>
      <c r="AD52" s="837">
        <f>L52*IF('GW-1 Exp'!U$28&lt;=$E52,2*(VLOOKUP(A52,[1]!TOX,67,FALSE))*1*0.000001*SQRT(6*$C52*'GW-1 Exp'!$U$28/PI()),(VLOOKUP(A52,[1]!TOX,67,FALSE))*1*0.000001*('GW-1 Exp'!$U$28/(1+$B52)+2*$C52*(1+3*$B52+3*$B52^2)/(1+$B52)^2))</f>
        <v>5.9197987918743217E-9</v>
      </c>
      <c r="AE52" s="839">
        <f>L52*IF('GW-1 Exp'!U$29&lt;=$E52,2*(VLOOKUP(A52,[1]!TOX,67,FALSE))*1*0.000001*SQRT(6*$C52*'GW-1 Exp'!$U$29/PI()),(VLOOKUP(A52,[1]!TOX,67,FALSE))*1*0.000001*('GW-1 Exp'!$U$29/(1+$B52)+2*$C52*(1+3*$B52+3*$B52^2)/(1+$B52)^2))</f>
        <v>7.0658678091334399E-9</v>
      </c>
    </row>
    <row r="53" spans="1:31" ht="23" x14ac:dyDescent="0.25">
      <c r="A53" s="540" t="s">
        <v>204</v>
      </c>
      <c r="B53" s="587">
        <f>(VLOOKUP(A53,[1]!TOX,67,FALSE))*(SQRT((VLOOKUP(A53,[1]!TOX,57,FALSE)))/2.6)</f>
        <v>2.4935180663020255E-2</v>
      </c>
      <c r="C53" s="596">
        <f>('GW-1 Exp'!$O$29^2)/(6*D53)</f>
        <v>0.36732353030168502</v>
      </c>
      <c r="D53" s="486">
        <f>10^(-2.8-(0.0056*(VLOOKUP(A53,[1]!TOX,57,FALSE))))*'GW-1 Exp'!$O$29</f>
        <v>4.5373261693794112E-7</v>
      </c>
      <c r="E53" s="597">
        <f t="shared" si="0"/>
        <v>0.88157647272404405</v>
      </c>
      <c r="F53" s="597">
        <f>IF(B53&lt;=0.6,0,(G53-SQRT(G53^2-H53^2))*('GW-1 Exp'!$O$29^2/D53))</f>
        <v>0</v>
      </c>
      <c r="G53" s="582">
        <f t="shared" si="1"/>
        <v>0.31860505788962357</v>
      </c>
      <c r="H53" s="598">
        <f t="shared" si="2"/>
        <v>0.35015899932217032</v>
      </c>
      <c r="I53" s="606">
        <f>IF('GW-1 Exp'!$U$13&lt;=$E53,2*(VLOOKUP(A53,[1]!TOX,67,FALSE))*1*0.000001*SQRT(6*$C53*'GW-1 Exp'!$U$13/PI()),(VLOOKUP(A53,[1]!TOX,67,FALSE))*1*0.000001*('GW-1 Exp'!$U$13/(1+$B53)+2*$C53*(1+3*$B53+3*$B53^2)/(1+$B53)^2))</f>
        <v>8.4904378573135852E-9</v>
      </c>
      <c r="J53" s="607">
        <f>IF('GW-1 Exp'!$U$21&lt;=$E53,2*(VLOOKUP(A53,[1]!TOX,67,FALSE))*1*0.000001*SQRT(6*$C53*'GW-1 Exp'!$U$21/PI()),(VLOOKUP(A53,[1]!TOX,67,FALSE))*1*0.000001*('GW-1 Exp'!$U$21/(1+$B53)+2*$C53*(1+3*$B53+3*$B53^2)/(1+$B53)^2))</f>
        <v>9.6481359756172931E-9</v>
      </c>
      <c r="K53" s="482"/>
      <c r="L53" s="554">
        <v>1</v>
      </c>
      <c r="M53" s="481">
        <f t="shared" si="3"/>
        <v>8.4904378573135852E-9</v>
      </c>
      <c r="N53" s="483">
        <f t="shared" si="4"/>
        <v>9.6481359756172931E-9</v>
      </c>
      <c r="O53" s="486" t="str">
        <f>IF(VLOOKUP(A53,[1]!TOX,81,FALSE)="Y","Inorganic",IF(K53="*","Streamlined",IF($E53=0,"Reduced Steady State",IF('GW-1 Exp'!$U$13&lt;=$E53,"Non-Steady State","Steady State"))))</f>
        <v>Non-Steady State</v>
      </c>
      <c r="P53" s="485" t="str">
        <f>IF(VLOOKUP(A53,[1]!TOX,81,FALSE)="Y","Inorganic",IF(K53="*","Streamlined",IF($E53=0,0,IF('GW-1 Exp'!$U$21&lt;=$E53,"Non-Steady State","Steady State"))))</f>
        <v>Non-Steady State</v>
      </c>
      <c r="Q53" s="563">
        <f>IF(K53=0,0,IF((VLOOKUP(A53,[1]!TOX,67,FALSE))=0,0,IF((VLOOKUP(A53,[1]!TOX,67,FALSE))&lt;0.5,0.2,1)))</f>
        <v>0</v>
      </c>
      <c r="R53" s="614">
        <f>IF(K53=0,IF(M53=0,0,('[1]Target Risk'!$D$8*(VLOOKUP(A53,[1]!TOX,4,FALSE))*(VLOOKUP(A53,[1]!TOX,37,FALSE)))/('GW-1 Exp'!$V$13*'GW-1 Derm'!$M53)),('[1]Target Risk'!$D$8*(VLOOKUP(A53,[1]!TOX,4,FALSE))*(VLOOKUP(A53,[1]!TOX,37,FALSE)))/('GW-1 Exp'!$J$18*'GW-1 Derm'!$Q53))</f>
        <v>97.440051493455201</v>
      </c>
      <c r="S53" s="574">
        <f>IF(OR(VLOOKUP(A53,[1]!TOX,12,FALSE)=0,VLOOKUP(A53,[1]!TOX,38,FALSE)=0),0,IF(K53=0,('[1]Target Risk'!$D$12*(VLOOKUP(A53,[1]!TOX,38,FALSE)))/('GW-1 Exp'!$V$21*'GW-1 Derm'!N53*(VLOOKUP(A53,[1]!TOX,12,FALSE))),IF(Q53=0,0,('[1]Target Risk'!$D$12*(VLOOKUP(A53,[1]!TOX,38,FALSE)))/('GW-1 Exp'!$J$26*'GW-1 Derm'!Q53*(VLOOKUP(A53,[1]!TOX,12,FALSE))))))</f>
        <v>0</v>
      </c>
      <c r="T53" s="575">
        <f>IF(OR(VLOOKUP(A53,[1]!TOX,12,FALSE)=0,VLOOKUP(A53,[1]!TOX,38,FALSE)=0),0,IF(NOT(VLOOKUP(A53,[1]!TOX,36,FALSE)="M"), IF(K53=0,('[1]Target Risk'!$D$12*(VLOOKUP(A53,[1]!TOX,38,FALSE)))/('GW-1 Exp'!$V$21*'GW-1 Derm'!N53*(VLOOKUP(A53,[1]!TOX,12,FALSE))),IF(Q53=0,0,('[1]Target Risk'!$D$12*(VLOOKUP(A53,[1]!TOX,38,FALSE)))/('GW-1 Exp'!$J$26*'GW-1 Derm'!Q53*(VLOOKUP(A53,[1]!TOX,12,FALSE))))), IF(K53=0,('[1]Target Risk'!$D$12*(VLOOKUP(A53,[1]!TOX,38,FALSE)))/(('GW-1 Exp'!$V$26*'GW-1 Derm'!AB53*(VLOOKUP(A53,[1]!TOX,12,FALSE))*10)+('GW-1 Exp'!$V$27*'GW-1 Derm'!AC53*(VLOOKUP(A53,[1]!TOX,12,FALSE))*3)+('GW-1 Exp'!$V$28*'GW-1 Derm'!AD53*(VLOOKUP(A53,[1]!TOX,12,FALSE))*3)+('GW-1 Exp'!$V$29*'GW-1 Derm'!AE53*(VLOOKUP(A53,[1]!TOX,12,FALSE))*1)),IF(Q53=0,0,(('[1]Target Risk'!$D$12*(VLOOKUP(A53,[1]!TOX,38,FALSE)))/(('GW-1 Exp'!$J$33*'GW-1 Derm'!Q53*(VLOOKUP(A53,[1]!TOX,12,FALSE))*10)+('GW-1 Exp'!$J$34*'GW-1 Derm'!Q53*(VLOOKUP(A53,[1]!TOX,12,FALSE))*3)+('GW-1 Exp'!$J$35*'GW-1 Derm'!Q53*(VLOOKUP(A53,[1]!TOX,12,FALSE))*3)+('GW-1 Exp'!$J$36*'GW-1 Derm'!Q53*(VLOOKUP(A53,[1]!TOX,12,FALSE))*1)))))))</f>
        <v>0</v>
      </c>
      <c r="AB53" s="838">
        <f>L53*IF('GW-1 Exp'!U$26&lt;=$E53,2*(VLOOKUP(A53,[1]!TOX,67,FALSE))*1*0.000001*SQRT(6*$C53*'GW-1 Exp'!$U$26/PI()),(VLOOKUP(A53,[1]!TOX,67,FALSE))*1*0.000001*('GW-1 Exp'!$U$26/(1+$B53)+2*$C53*(1+3*$B53+3*$B53^2)/(1+$B53)^2))</f>
        <v>7.9261133906634874E-9</v>
      </c>
      <c r="AC53" s="837">
        <f>L53*IF('GW-1 Exp'!U$27&lt;=$E53,2*(VLOOKUP(A53,[1]!TOX,67,FALSE))*1*0.000001*SQRT(6*$C53*'GW-1 Exp'!$U$27/PI()),(VLOOKUP(A53,[1]!TOX,67,FALSE))*1*0.000001*('GW-1 Exp'!$U$27/(1+$B53)+2*$C53*(1+3*$B53+3*$B53^2)/(1+$B53)^2))</f>
        <v>8.6005428974935123E-9</v>
      </c>
      <c r="AD53" s="837">
        <f>L53*IF('GW-1 Exp'!U$28&lt;=$E53,2*(VLOOKUP(A53,[1]!TOX,67,FALSE))*1*0.000001*SQRT(6*$C53*'GW-1 Exp'!$U$28/PI()),(VLOOKUP(A53,[1]!TOX,67,FALSE))*1*0.000001*('GW-1 Exp'!$U$28/(1+$B53)+2*$C53*(1+3*$B53+3*$B53^2)/(1+$B53)^2))</f>
        <v>9.0595566650895609E-9</v>
      </c>
      <c r="AE53" s="839">
        <f>L53*IF('GW-1 Exp'!U$29&lt;=$E53,2*(VLOOKUP(A53,[1]!TOX,67,FALSE))*1*0.000001*SQRT(6*$C53*'GW-1 Exp'!$U$29/PI()),(VLOOKUP(A53,[1]!TOX,67,FALSE))*1*0.000001*('GW-1 Exp'!$U$29/(1+$B53)+2*$C53*(1+3*$B53+3*$B53^2)/(1+$B53)^2))</f>
        <v>1.0805484616347305E-8</v>
      </c>
    </row>
    <row r="54" spans="1:31" ht="23" x14ac:dyDescent="0.25">
      <c r="A54" s="540" t="s">
        <v>205</v>
      </c>
      <c r="B54" s="587">
        <f>(VLOOKUP(A54,[1]!TOX,67,FALSE))*(SQRT((VLOOKUP(A54,[1]!TOX,57,FALSE)))/2.6)</f>
        <v>4.1173000653169374E-2</v>
      </c>
      <c r="C54" s="596">
        <f>('GW-1 Exp'!$O$29^2)/(6*D54)</f>
        <v>0.36732353030168502</v>
      </c>
      <c r="D54" s="486">
        <f>10^(-2.8-(0.0056*(VLOOKUP(A54,[1]!TOX,57,FALSE))))*'GW-1 Exp'!$O$29</f>
        <v>4.5373261693794112E-7</v>
      </c>
      <c r="E54" s="597">
        <f t="shared" si="0"/>
        <v>0.88157647272404405</v>
      </c>
      <c r="F54" s="597">
        <f>IF(B54&lt;=0.6,0,(G54-SQRT(G54^2-H54^2))*('GW-1 Exp'!$O$29^2/D54))</f>
        <v>0</v>
      </c>
      <c r="G54" s="582">
        <f t="shared" si="1"/>
        <v>0.32879734622922197</v>
      </c>
      <c r="H54" s="598">
        <f t="shared" si="2"/>
        <v>0.36132472675845639</v>
      </c>
      <c r="I54" s="606">
        <f>IF('GW-1 Exp'!$U$13&lt;=$E54,2*(VLOOKUP(A54,[1]!TOX,67,FALSE))*1*0.000001*SQRT(6*$C54*'GW-1 Exp'!$U$13/PI()),(VLOOKUP(A54,[1]!TOX,67,FALSE))*1*0.000001*('GW-1 Exp'!$U$13/(1+$B54)+2*$C54*(1+3*$B54+3*$B54^2)/(1+$B54)^2))</f>
        <v>1.4019421321590858E-8</v>
      </c>
      <c r="J54" s="607">
        <f>IF('GW-1 Exp'!$U$21&lt;=$E54,2*(VLOOKUP(A54,[1]!TOX,67,FALSE))*1*0.000001*SQRT(6*$C54*'GW-1 Exp'!$U$21/PI()),(VLOOKUP(A54,[1]!TOX,67,FALSE))*1*0.000001*('GW-1 Exp'!$U$21/(1+$B54)+2*$C54*(1+3*$B54+3*$B54^2)/(1+$B54)^2))</f>
        <v>1.5931013863279628E-8</v>
      </c>
      <c r="K54" s="482"/>
      <c r="L54" s="554">
        <v>1</v>
      </c>
      <c r="M54" s="481">
        <f t="shared" si="3"/>
        <v>1.4019421321590858E-8</v>
      </c>
      <c r="N54" s="483">
        <f t="shared" si="4"/>
        <v>1.5931013863279628E-8</v>
      </c>
      <c r="O54" s="486" t="str">
        <f>IF(VLOOKUP(A54,[1]!TOX,81,FALSE)="Y","Inorganic",IF(K54="*","Streamlined",IF($E54=0,"Reduced Steady State",IF('GW-1 Exp'!$U$13&lt;=$E54,"Non-Steady State","Steady State"))))</f>
        <v>Non-Steady State</v>
      </c>
      <c r="P54" s="485" t="str">
        <f>IF(VLOOKUP(A54,[1]!TOX,81,FALSE)="Y","Inorganic",IF(K54="*","Streamlined",IF($E54=0,0,IF('GW-1 Exp'!$U$21&lt;=$E54,"Non-Steady State","Steady State"))))</f>
        <v>Non-Steady State</v>
      </c>
      <c r="Q54" s="563">
        <f>IF(K54=0,0,IF((VLOOKUP(A54,[1]!TOX,67,FALSE))=0,0,IF((VLOOKUP(A54,[1]!TOX,67,FALSE))&lt;0.5,0.2,1)))</f>
        <v>0</v>
      </c>
      <c r="R54" s="614">
        <f>IF(K54=0,IF(M54=0,0,('[1]Target Risk'!$D$8*(VLOOKUP(A54,[1]!TOX,4,FALSE))*(VLOOKUP(A54,[1]!TOX,37,FALSE)))/('GW-1 Exp'!$V$13*'GW-1 Derm'!$M54)),('[1]Target Risk'!$D$8*(VLOOKUP(A54,[1]!TOX,4,FALSE))*(VLOOKUP(A54,[1]!TOX,37,FALSE)))/('GW-1 Exp'!$J$18*'GW-1 Derm'!$Q54))</f>
        <v>590.1161560388415</v>
      </c>
      <c r="S54" s="574">
        <f>IF(OR(VLOOKUP(A54,[1]!TOX,12,FALSE)=0,VLOOKUP(A54,[1]!TOX,38,FALSE)=0),0,IF(K54=0,('[1]Target Risk'!$D$12*(VLOOKUP(A54,[1]!TOX,38,FALSE)))/('GW-1 Exp'!$V$21*'GW-1 Derm'!N54*(VLOOKUP(A54,[1]!TOX,12,FALSE))),IF(Q54=0,0,('[1]Target Risk'!$D$12*(VLOOKUP(A54,[1]!TOX,38,FALSE)))/('GW-1 Exp'!$J$26*'GW-1 Derm'!Q54*(VLOOKUP(A54,[1]!TOX,12,FALSE))))))</f>
        <v>0</v>
      </c>
      <c r="T54" s="575">
        <f>IF(OR(VLOOKUP(A54,[1]!TOX,12,FALSE)=0,VLOOKUP(A54,[1]!TOX,38,FALSE)=0),0,IF(NOT(VLOOKUP(A54,[1]!TOX,36,FALSE)="M"), IF(K54=0,('[1]Target Risk'!$D$12*(VLOOKUP(A54,[1]!TOX,38,FALSE)))/('GW-1 Exp'!$V$21*'GW-1 Derm'!N54*(VLOOKUP(A54,[1]!TOX,12,FALSE))),IF(Q54=0,0,('[1]Target Risk'!$D$12*(VLOOKUP(A54,[1]!TOX,38,FALSE)))/('GW-1 Exp'!$J$26*'GW-1 Derm'!Q54*(VLOOKUP(A54,[1]!TOX,12,FALSE))))), IF(K54=0,('[1]Target Risk'!$D$12*(VLOOKUP(A54,[1]!TOX,38,FALSE)))/(('GW-1 Exp'!$V$26*'GW-1 Derm'!AB54*(VLOOKUP(A54,[1]!TOX,12,FALSE))*10)+('GW-1 Exp'!$V$27*'GW-1 Derm'!AC54*(VLOOKUP(A54,[1]!TOX,12,FALSE))*3)+('GW-1 Exp'!$V$28*'GW-1 Derm'!AD54*(VLOOKUP(A54,[1]!TOX,12,FALSE))*3)+('GW-1 Exp'!$V$29*'GW-1 Derm'!AE54*(VLOOKUP(A54,[1]!TOX,12,FALSE))*1)),IF(Q54=0,0,(('[1]Target Risk'!$D$12*(VLOOKUP(A54,[1]!TOX,38,FALSE)))/(('GW-1 Exp'!$J$33*'GW-1 Derm'!Q54*(VLOOKUP(A54,[1]!TOX,12,FALSE))*10)+('GW-1 Exp'!$J$34*'GW-1 Derm'!Q54*(VLOOKUP(A54,[1]!TOX,12,FALSE))*3)+('GW-1 Exp'!$J$35*'GW-1 Derm'!Q54*(VLOOKUP(A54,[1]!TOX,12,FALSE))*3)+('GW-1 Exp'!$J$36*'GW-1 Derm'!Q54*(VLOOKUP(A54,[1]!TOX,12,FALSE))*1)))))))</f>
        <v>0</v>
      </c>
      <c r="AB54" s="838">
        <f>L54*IF('GW-1 Exp'!U$26&lt;=$E54,2*(VLOOKUP(A54,[1]!TOX,67,FALSE))*1*0.000001*SQRT(6*$C54*'GW-1 Exp'!$U$26/PI()),(VLOOKUP(A54,[1]!TOX,67,FALSE))*1*0.000001*('GW-1 Exp'!$U$26/(1+$B54)+2*$C54*(1+3*$B54+3*$B54^2)/(1+$B54)^2))</f>
        <v>1.3087608075559634E-8</v>
      </c>
      <c r="AC54" s="837">
        <f>L54*IF('GW-1 Exp'!U$27&lt;=$E54,2*(VLOOKUP(A54,[1]!TOX,67,FALSE))*1*0.000001*SQRT(6*$C54*'GW-1 Exp'!$U$27/PI()),(VLOOKUP(A54,[1]!TOX,67,FALSE))*1*0.000001*('GW-1 Exp'!$U$27/(1+$B54)+2*$C54*(1+3*$B54+3*$B54^2)/(1+$B54)^2))</f>
        <v>1.4201226897917342E-8</v>
      </c>
      <c r="AD54" s="837">
        <f>L54*IF('GW-1 Exp'!U$28&lt;=$E54,2*(VLOOKUP(A54,[1]!TOX,67,FALSE))*1*0.000001*SQRT(6*$C54*'GW-1 Exp'!$U$28/PI()),(VLOOKUP(A54,[1]!TOX,67,FALSE))*1*0.000001*('GW-1 Exp'!$U$28/(1+$B54)+2*$C54*(1+3*$B54+3*$B54^2)/(1+$B54)^2))</f>
        <v>1.4959150989523129E-8</v>
      </c>
      <c r="AE54" s="839">
        <f>L54*IF('GW-1 Exp'!U$29&lt;=$E54,2*(VLOOKUP(A54,[1]!TOX,67,FALSE))*1*0.000001*SQRT(6*$C54*'GW-1 Exp'!$U$29/PI()),(VLOOKUP(A54,[1]!TOX,67,FALSE))*1*0.000001*('GW-1 Exp'!$U$29/(1+$B54)+2*$C54*(1+3*$B54+3*$B54^2)/(1+$B54)^2))</f>
        <v>1.7820670452540873E-8</v>
      </c>
    </row>
    <row r="55" spans="1:31" x14ac:dyDescent="0.25">
      <c r="A55" s="540" t="s">
        <v>206</v>
      </c>
      <c r="B55" s="587">
        <f>(VLOOKUP(A55,[1]!TOX,67,FALSE))*(SQRT((VLOOKUP(A55,[1]!TOX,57,FALSE)))/2.6)</f>
        <v>1.2552670091854621E-2</v>
      </c>
      <c r="C55" s="596">
        <f>('GW-1 Exp'!$O$29^2)/(6*D55)</f>
        <v>0.31466522484938236</v>
      </c>
      <c r="D55" s="486">
        <f>10^(-2.8-(0.0056*(VLOOKUP(A55,[1]!TOX,57,FALSE))))*'GW-1 Exp'!$O$29</f>
        <v>5.2966344389165754E-7</v>
      </c>
      <c r="E55" s="597">
        <f t="shared" si="0"/>
        <v>0.75519653963851763</v>
      </c>
      <c r="F55" s="597">
        <f>IF(B55&lt;=0.6,0,(G55-SQRT(G55^2-H55^2))*('GW-1 Exp'!$O$29^2/D55))</f>
        <v>0</v>
      </c>
      <c r="G55" s="582">
        <f t="shared" si="1"/>
        <v>0.31094898809252197</v>
      </c>
      <c r="H55" s="598">
        <f t="shared" si="2"/>
        <v>0.34175365210407399</v>
      </c>
      <c r="I55" s="606">
        <f>IF('GW-1 Exp'!$U$13&lt;=$E55,2*(VLOOKUP(A55,[1]!TOX,67,FALSE))*1*0.000001*SQRT(6*$C55*'GW-1 Exp'!$U$13/PI()),(VLOOKUP(A55,[1]!TOX,67,FALSE))*1*0.000001*('GW-1 Exp'!$U$13/(1+$B55)+2*$C55*(1+3*$B55+3*$B55^2)/(1+$B55)^2))</f>
        <v>4.2260057892940713E-9</v>
      </c>
      <c r="J55" s="607">
        <f>IF('GW-1 Exp'!$U$21&lt;=$E55,2*(VLOOKUP(A55,[1]!TOX,67,FALSE))*1*0.000001*SQRT(6*$C55*'GW-1 Exp'!$U$21/PI()),(VLOOKUP(A55,[1]!TOX,67,FALSE))*1*0.000001*('GW-1 Exp'!$U$21/(1+$B55)+2*$C55*(1+3*$B55+3*$B55^2)/(1+$B55)^2))</f>
        <v>4.9322234838769636E-9</v>
      </c>
      <c r="K55" s="482"/>
      <c r="L55" s="554">
        <v>1</v>
      </c>
      <c r="M55" s="481">
        <f t="shared" si="3"/>
        <v>4.2260057892940713E-9</v>
      </c>
      <c r="N55" s="483">
        <f t="shared" si="4"/>
        <v>4.9322234838769636E-9</v>
      </c>
      <c r="O55" s="486" t="str">
        <f>IF(VLOOKUP(A55,[1]!TOX,81,FALSE)="Y","Inorganic",IF(K55="*","Streamlined",IF($E55=0,"Reduced Steady State",IF('GW-1 Exp'!$U$13&lt;=$E55,"Non-Steady State","Steady State"))))</f>
        <v>Non-Steady State</v>
      </c>
      <c r="P55" s="485" t="str">
        <f>IF(VLOOKUP(A55,[1]!TOX,81,FALSE)="Y","Inorganic",IF(K55="*","Streamlined",IF($E55=0,0,IF('GW-1 Exp'!$U$21&lt;=$E55,"Non-Steady State","Steady State"))))</f>
        <v>Steady State</v>
      </c>
      <c r="Q55" s="563">
        <f>IF(K55=0,0,IF((VLOOKUP(A55,[1]!TOX,67,FALSE))=0,0,IF((VLOOKUP(A55,[1]!TOX,67,FALSE))&lt;0.5,0.2,1)))</f>
        <v>0</v>
      </c>
      <c r="R55" s="614">
        <f>IF(K55=0,IF(M55=0,0,('[1]Target Risk'!$D$8*(VLOOKUP(A55,[1]!TOX,4,FALSE))*(VLOOKUP(A55,[1]!TOX,37,FALSE)))/('GW-1 Exp'!$V$13*'GW-1 Derm'!$M55)),('[1]Target Risk'!$D$8*(VLOOKUP(A55,[1]!TOX,4,FALSE))*(VLOOKUP(A55,[1]!TOX,37,FALSE)))/('GW-1 Exp'!$J$18*'GW-1 Derm'!$Q55))</f>
        <v>699.16466827044667</v>
      </c>
      <c r="S55" s="757">
        <f>IF(OR(VLOOKUP(A55,[1]!TOX,12,FALSE)=0,VLOOKUP(A55,[1]!TOX,38,FALSE)=0),0,IF(K55=0,('[1]Target Risk'!$D$12*(VLOOKUP(A55,[1]!TOX,38,FALSE)))/('GW-1 Exp'!$V$21*'GW-1 Derm'!N55*(VLOOKUP(A55,[1]!TOX,12,FALSE))),IF(Q55=0,0,('[1]Target Risk'!$D$12*(VLOOKUP(A55,[1]!TOX,38,FALSE)))/('GW-1 Exp'!$J$26*'GW-1 Derm'!Q55*(VLOOKUP(A55,[1]!TOX,12,FALSE))))))</f>
        <v>758.0309222092568</v>
      </c>
      <c r="T55" s="575">
        <f>IF(OR(VLOOKUP(A55,[1]!TOX,12,FALSE)=0,VLOOKUP(A55,[1]!TOX,38,FALSE)=0),0,IF(NOT(VLOOKUP(A55,[1]!TOX,36,FALSE)="M"), IF(K55=0,('[1]Target Risk'!$D$12*(VLOOKUP(A55,[1]!TOX,38,FALSE)))/('GW-1 Exp'!$V$21*'GW-1 Derm'!N55*(VLOOKUP(A55,[1]!TOX,12,FALSE))),IF(Q55=0,0,('[1]Target Risk'!$D$12*(VLOOKUP(A55,[1]!TOX,38,FALSE)))/('GW-1 Exp'!$J$26*'GW-1 Derm'!Q55*(VLOOKUP(A55,[1]!TOX,12,FALSE))))), IF(K55=0,('[1]Target Risk'!$D$12*(VLOOKUP(A55,[1]!TOX,38,FALSE)))/(('GW-1 Exp'!$V$26*'GW-1 Derm'!AB55*(VLOOKUP(A55,[1]!TOX,12,FALSE))*10)+('GW-1 Exp'!$V$27*'GW-1 Derm'!AC55*(VLOOKUP(A55,[1]!TOX,12,FALSE))*3)+('GW-1 Exp'!$V$28*'GW-1 Derm'!AD55*(VLOOKUP(A55,[1]!TOX,12,FALSE))*3)+('GW-1 Exp'!$V$29*'GW-1 Derm'!AE55*(VLOOKUP(A55,[1]!TOX,12,FALSE))*1)),IF(Q55=0,0,(('[1]Target Risk'!$D$12*(VLOOKUP(A55,[1]!TOX,38,FALSE)))/(('GW-1 Exp'!$J$33*'GW-1 Derm'!Q55*(VLOOKUP(A55,[1]!TOX,12,FALSE))*10)+('GW-1 Exp'!$J$34*'GW-1 Derm'!Q55*(VLOOKUP(A55,[1]!TOX,12,FALSE))*3)+('GW-1 Exp'!$J$35*'GW-1 Derm'!Q55*(VLOOKUP(A55,[1]!TOX,12,FALSE))*3)+('GW-1 Exp'!$J$36*'GW-1 Derm'!Q55*(VLOOKUP(A55,[1]!TOX,12,FALSE))*1)))))))</f>
        <v>292.88662564789058</v>
      </c>
      <c r="AB55" s="838">
        <f>L55*IF('GW-1 Exp'!U$26&lt;=$E55,2*(VLOOKUP(A55,[1]!TOX,67,FALSE))*1*0.000001*SQRT(6*$C55*'GW-1 Exp'!$U$26/PI()),(VLOOKUP(A55,[1]!TOX,67,FALSE))*1*0.000001*('GW-1 Exp'!$U$26/(1+$B55)+2*$C55*(1+3*$B55+3*$B55^2)/(1+$B55)^2))</f>
        <v>3.9451205742813578E-9</v>
      </c>
      <c r="AC55" s="837">
        <f>L55*IF('GW-1 Exp'!U$27&lt;=$E55,2*(VLOOKUP(A55,[1]!TOX,67,FALSE))*1*0.000001*SQRT(6*$C55*'GW-1 Exp'!$U$27/PI()),(VLOOKUP(A55,[1]!TOX,67,FALSE))*1*0.000001*('GW-1 Exp'!$U$27/(1+$B55)+2*$C55*(1+3*$B55+3*$B55^2)/(1+$B55)^2))</f>
        <v>4.2808091510347161E-9</v>
      </c>
      <c r="AD55" s="837">
        <f>L55*IF('GW-1 Exp'!U$28&lt;=$E55,2*(VLOOKUP(A55,[1]!TOX,67,FALSE))*1*0.000001*SQRT(6*$C55*'GW-1 Exp'!$U$28/PI()),(VLOOKUP(A55,[1]!TOX,67,FALSE))*1*0.000001*('GW-1 Exp'!$U$28/(1+$B55)+2*$C55*(1+3*$B55+3*$B55^2)/(1+$B55)^2))</f>
        <v>4.5092773256831738E-9</v>
      </c>
      <c r="AE55" s="839">
        <f>L55*IF('GW-1 Exp'!U$29&lt;=$E55,2*(VLOOKUP(A55,[1]!TOX,67,FALSE))*1*0.000001*SQRT(6*$C55*'GW-1 Exp'!$U$29/PI()),(VLOOKUP(A55,[1]!TOX,67,FALSE))*1*0.000001*('GW-1 Exp'!$U$29/(1+$B55)+2*$C55*(1+3*$B55+3*$B55^2)/(1+$B55)^2))</f>
        <v>5.4397112030745915E-9</v>
      </c>
    </row>
    <row r="56" spans="1:31" x14ac:dyDescent="0.25">
      <c r="A56" s="540" t="s">
        <v>207</v>
      </c>
      <c r="B56" s="587">
        <f>(VLOOKUP(A56,[1]!TOX,67,FALSE))*(SQRT((VLOOKUP(A56,[1]!TOX,57,FALSE)))/2.6)</f>
        <v>9.9522311469375721E-2</v>
      </c>
      <c r="C56" s="596">
        <f>('GW-1 Exp'!$O$29^2)/(6*D56)</f>
        <v>0.86029767582778804</v>
      </c>
      <c r="D56" s="486">
        <f>10^(-2.8-(0.0056*(VLOOKUP(A56,[1]!TOX,57,FALSE))))*'GW-1 Exp'!$O$29</f>
        <v>1.9373139245819553E-7</v>
      </c>
      <c r="E56" s="597">
        <f t="shared" si="0"/>
        <v>2.0647144219866913</v>
      </c>
      <c r="F56" s="597">
        <f>IF(B56&lt;=0.6,0,(G56-SQRT(G56^2-H56^2))*('GW-1 Exp'!$O$29^2/D56))</f>
        <v>0</v>
      </c>
      <c r="G56" s="582">
        <f t="shared" si="1"/>
        <v>0.36695677040508995</v>
      </c>
      <c r="H56" s="598">
        <f t="shared" si="2"/>
        <v>0.40268426630763138</v>
      </c>
      <c r="I56" s="606">
        <f>IF('GW-1 Exp'!$U$13&lt;=$E56,2*(VLOOKUP(A56,[1]!TOX,67,FALSE))*1*0.000001*SQRT(6*$C56*'GW-1 Exp'!$U$13/PI()),(VLOOKUP(A56,[1]!TOX,67,FALSE))*1*0.000001*('GW-1 Exp'!$U$13/(1+$B56)+2*$C56*(1+3*$B56+3*$B56^2)/(1+$B56)^2))</f>
        <v>4.0006456632351329E-8</v>
      </c>
      <c r="J56" s="607">
        <f>IF('GW-1 Exp'!$U$21&lt;=$E56,2*(VLOOKUP(A56,[1]!TOX,67,FALSE))*1*0.000001*SQRT(6*$C56*'GW-1 Exp'!$U$21/PI()),(VLOOKUP(A56,[1]!TOX,67,FALSE))*1*0.000001*('GW-1 Exp'!$U$21/(1+$B56)+2*$C56*(1+3*$B56+3*$B56^2)/(1+$B56)^2))</f>
        <v>4.546146382298478E-8</v>
      </c>
      <c r="K56" s="482"/>
      <c r="L56" s="554">
        <v>1</v>
      </c>
      <c r="M56" s="481">
        <f t="shared" si="3"/>
        <v>4.0006456632351329E-8</v>
      </c>
      <c r="N56" s="483">
        <f t="shared" si="4"/>
        <v>4.546146382298478E-8</v>
      </c>
      <c r="O56" s="486" t="str">
        <f>IF(VLOOKUP(A56,[1]!TOX,81,FALSE)="Y","Inorganic",IF(K56="*","Streamlined",IF($E56=0,"Reduced Steady State",IF('GW-1 Exp'!$U$13&lt;=$E56,"Non-Steady State","Steady State"))))</f>
        <v>Non-Steady State</v>
      </c>
      <c r="P56" s="485" t="str">
        <f>IF(VLOOKUP(A56,[1]!TOX,81,FALSE)="Y","Inorganic",IF(K56="*","Streamlined",IF($E56=0,0,IF('GW-1 Exp'!$U$21&lt;=$E56,"Non-Steady State","Steady State"))))</f>
        <v>Non-Steady State</v>
      </c>
      <c r="Q56" s="563">
        <f>IF(K56=0,0,IF((VLOOKUP(A56,[1]!TOX,67,FALSE))=0,0,IF((VLOOKUP(A56,[1]!TOX,67,FALSE))&lt;0.5,0.2,1)))</f>
        <v>0</v>
      </c>
      <c r="R56" s="614">
        <f>IF(K56=0,IF(M56=0,0,('[1]Target Risk'!$D$8*(VLOOKUP(A56,[1]!TOX,4,FALSE))*(VLOOKUP(A56,[1]!TOX,37,FALSE)))/('GW-1 Exp'!$V$13*'GW-1 Derm'!$M56)),('[1]Target Risk'!$D$8*(VLOOKUP(A56,[1]!TOX,4,FALSE))*(VLOOKUP(A56,[1]!TOX,37,FALSE)))/('GW-1 Exp'!$J$18*'GW-1 Derm'!$Q56))</f>
        <v>36.927463520869168</v>
      </c>
      <c r="S56" s="574">
        <f>IF(OR(VLOOKUP(A56,[1]!TOX,12,FALSE)=0,VLOOKUP(A56,[1]!TOX,38,FALSE)=0),0,IF(K56=0,('[1]Target Risk'!$D$12*(VLOOKUP(A56,[1]!TOX,38,FALSE)))/('GW-1 Exp'!$V$21*'GW-1 Derm'!N56*(VLOOKUP(A56,[1]!TOX,12,FALSE))),IF(Q56=0,0,('[1]Target Risk'!$D$12*(VLOOKUP(A56,[1]!TOX,38,FALSE)))/('GW-1 Exp'!$J$26*'GW-1 Derm'!Q56*(VLOOKUP(A56,[1]!TOX,12,FALSE))))))</f>
        <v>0</v>
      </c>
      <c r="T56" s="575">
        <f>IF(OR(VLOOKUP(A56,[1]!TOX,12,FALSE)=0,VLOOKUP(A56,[1]!TOX,38,FALSE)=0),0,IF(NOT(VLOOKUP(A56,[1]!TOX,36,FALSE)="M"), IF(K56=0,('[1]Target Risk'!$D$12*(VLOOKUP(A56,[1]!TOX,38,FALSE)))/('GW-1 Exp'!$V$21*'GW-1 Derm'!N56*(VLOOKUP(A56,[1]!TOX,12,FALSE))),IF(Q56=0,0,('[1]Target Risk'!$D$12*(VLOOKUP(A56,[1]!TOX,38,FALSE)))/('GW-1 Exp'!$J$26*'GW-1 Derm'!Q56*(VLOOKUP(A56,[1]!TOX,12,FALSE))))), IF(K56=0,('[1]Target Risk'!$D$12*(VLOOKUP(A56,[1]!TOX,38,FALSE)))/(('GW-1 Exp'!$V$26*'GW-1 Derm'!AB56*(VLOOKUP(A56,[1]!TOX,12,FALSE))*10)+('GW-1 Exp'!$V$27*'GW-1 Derm'!AC56*(VLOOKUP(A56,[1]!TOX,12,FALSE))*3)+('GW-1 Exp'!$V$28*'GW-1 Derm'!AD56*(VLOOKUP(A56,[1]!TOX,12,FALSE))*3)+('GW-1 Exp'!$V$29*'GW-1 Derm'!AE56*(VLOOKUP(A56,[1]!TOX,12,FALSE))*1)),IF(Q56=0,0,(('[1]Target Risk'!$D$12*(VLOOKUP(A56,[1]!TOX,38,FALSE)))/(('GW-1 Exp'!$J$33*'GW-1 Derm'!Q56*(VLOOKUP(A56,[1]!TOX,12,FALSE))*10)+('GW-1 Exp'!$J$34*'GW-1 Derm'!Q56*(VLOOKUP(A56,[1]!TOX,12,FALSE))*3)+('GW-1 Exp'!$J$35*'GW-1 Derm'!Q56*(VLOOKUP(A56,[1]!TOX,12,FALSE))*3)+('GW-1 Exp'!$J$36*'GW-1 Derm'!Q56*(VLOOKUP(A56,[1]!TOX,12,FALSE))*1)))))))</f>
        <v>0</v>
      </c>
      <c r="AB56" s="838">
        <f>L56*IF('GW-1 Exp'!U$26&lt;=$E56,2*(VLOOKUP(A56,[1]!TOX,67,FALSE))*1*0.000001*SQRT(6*$C56*'GW-1 Exp'!$U$26/PI()),(VLOOKUP(A56,[1]!TOX,67,FALSE))*1*0.000001*('GW-1 Exp'!$U$26/(1+$B56)+2*$C56*(1+3*$B56+3*$B56^2)/(1+$B56)^2))</f>
        <v>3.7347392084559527E-8</v>
      </c>
      <c r="AC56" s="837">
        <f>L56*IF('GW-1 Exp'!U$27&lt;=$E56,2*(VLOOKUP(A56,[1]!TOX,67,FALSE))*1*0.000001*SQRT(6*$C56*'GW-1 Exp'!$U$27/PI()),(VLOOKUP(A56,[1]!TOX,67,FALSE))*1*0.000001*('GW-1 Exp'!$U$27/(1+$B56)+2*$C56*(1+3*$B56+3*$B56^2)/(1+$B56)^2))</f>
        <v>4.0525265272022033E-8</v>
      </c>
      <c r="AD56" s="837">
        <f>L56*IF('GW-1 Exp'!U$28&lt;=$E56,2*(VLOOKUP(A56,[1]!TOX,67,FALSE))*1*0.000001*SQRT(6*$C56*'GW-1 Exp'!$U$28/PI()),(VLOOKUP(A56,[1]!TOX,67,FALSE))*1*0.000001*('GW-1 Exp'!$U$28/(1+$B56)+2*$C56*(1+3*$B56+3*$B56^2)/(1+$B56)^2))</f>
        <v>4.2688111840784726E-8</v>
      </c>
      <c r="AE56" s="839">
        <f>L56*IF('GW-1 Exp'!U$29&lt;=$E56,2*(VLOOKUP(A56,[1]!TOX,67,FALSE))*1*0.000001*SQRT(6*$C56*'GW-1 Exp'!$U$29/PI()),(VLOOKUP(A56,[1]!TOX,67,FALSE))*1*0.000001*('GW-1 Exp'!$U$29/(1+$B56)+2*$C56*(1+3*$B56+3*$B56^2)/(1+$B56)^2))</f>
        <v>4.9584522333109236E-8</v>
      </c>
    </row>
    <row r="57" spans="1:31" x14ac:dyDescent="0.25">
      <c r="A57" s="540" t="s">
        <v>208</v>
      </c>
      <c r="B57" s="587">
        <f>(VLOOKUP(A57,[1]!TOX,67,FALSE))*(SQRT((VLOOKUP(A57,[1]!TOX,57,FALSE)))/2.6)</f>
        <v>3.0589041857978547E-2</v>
      </c>
      <c r="C57" s="596">
        <f>('GW-1 Exp'!$O$29^2)/(6*D57)</f>
        <v>0.45149063830996355</v>
      </c>
      <c r="D57" s="486">
        <f>10^(-2.8-(0.0056*(VLOOKUP(A57,[1]!TOX,57,FALSE))))*'GW-1 Exp'!$O$29</f>
        <v>3.6914755816541291E-7</v>
      </c>
      <c r="E57" s="597">
        <f t="shared" si="0"/>
        <v>1.0835775319439125</v>
      </c>
      <c r="F57" s="597">
        <f>IF(B57&lt;=0.6,0,(G57-SQRT(G57^2-H57^2))*('GW-1 Exp'!$O$29^2/D57))</f>
        <v>0</v>
      </c>
      <c r="G57" s="582">
        <f t="shared" si="1"/>
        <v>0.32213396156110097</v>
      </c>
      <c r="H57" s="598">
        <f t="shared" si="2"/>
        <v>0.35402866696052127</v>
      </c>
      <c r="I57" s="606">
        <f>IF('GW-1 Exp'!$U$13&lt;=$E57,2*(VLOOKUP(A57,[1]!TOX,67,FALSE))*1*0.000001*SQRT(6*$C57*'GW-1 Exp'!$U$13/PI()),(VLOOKUP(A57,[1]!TOX,67,FALSE))*1*0.000001*('GW-1 Exp'!$U$13/(1+$B57)+2*$C57*(1+3*$B57+3*$B57^2)/(1+$B57)^2))</f>
        <v>1.0698677285293151E-8</v>
      </c>
      <c r="J57" s="607">
        <f>IF('GW-1 Exp'!$U$21&lt;=$E57,2*(VLOOKUP(A57,[1]!TOX,67,FALSE))*1*0.000001*SQRT(6*$C57*'GW-1 Exp'!$U$21/PI()),(VLOOKUP(A57,[1]!TOX,67,FALSE))*1*0.000001*('GW-1 Exp'!$U$21/(1+$B57)+2*$C57*(1+3*$B57+3*$B57^2)/(1+$B57)^2))</f>
        <v>1.2157475850181471E-8</v>
      </c>
      <c r="K57" s="482"/>
      <c r="L57" s="554">
        <v>1</v>
      </c>
      <c r="M57" s="481">
        <f t="shared" si="3"/>
        <v>1.0698677285293151E-8</v>
      </c>
      <c r="N57" s="483">
        <f t="shared" si="4"/>
        <v>1.2157475850181471E-8</v>
      </c>
      <c r="O57" s="486" t="str">
        <f>IF(VLOOKUP(A57,[1]!TOX,81,FALSE)="Y","Inorganic",IF(K57="*","Streamlined",IF($E57=0,"Reduced Steady State",IF('GW-1 Exp'!$U$13&lt;=$E57,"Non-Steady State","Steady State"))))</f>
        <v>Non-Steady State</v>
      </c>
      <c r="P57" s="485" t="str">
        <f>IF(VLOOKUP(A57,[1]!TOX,81,FALSE)="Y","Inorganic",IF(K57="*","Streamlined",IF($E57=0,0,IF('GW-1 Exp'!$U$21&lt;=$E57,"Non-Steady State","Steady State"))))</f>
        <v>Non-Steady State</v>
      </c>
      <c r="Q57" s="563">
        <f>IF(K57=0,0,IF((VLOOKUP(A57,[1]!TOX,67,FALSE))=0,0,IF((VLOOKUP(A57,[1]!TOX,67,FALSE))&lt;0.5,0.2,1)))</f>
        <v>0</v>
      </c>
      <c r="R57" s="614">
        <f>IF(K57=0,IF(M57=0,0,('[1]Target Risk'!$D$8*(VLOOKUP(A57,[1]!TOX,4,FALSE))*(VLOOKUP(A57,[1]!TOX,37,FALSE)))/('GW-1 Exp'!$V$13*'GW-1 Derm'!$M57)),('[1]Target Risk'!$D$8*(VLOOKUP(A57,[1]!TOX,4,FALSE))*(VLOOKUP(A57,[1]!TOX,37,FALSE)))/('GW-1 Exp'!$J$18*'GW-1 Derm'!$Q57))</f>
        <v>1841.1459391915639</v>
      </c>
      <c r="S57" s="574">
        <f>IF(OR(VLOOKUP(A57,[1]!TOX,12,FALSE)=0,VLOOKUP(A57,[1]!TOX,38,FALSE)=0),0,IF(K57=0,('[1]Target Risk'!$D$12*(VLOOKUP(A57,[1]!TOX,38,FALSE)))/('GW-1 Exp'!$V$21*'GW-1 Derm'!N57*(VLOOKUP(A57,[1]!TOX,12,FALSE))),IF(Q57=0,0,('[1]Target Risk'!$D$12*(VLOOKUP(A57,[1]!TOX,38,FALSE)))/('GW-1 Exp'!$J$26*'GW-1 Derm'!Q57*(VLOOKUP(A57,[1]!TOX,12,FALSE))))))</f>
        <v>16.623195970890976</v>
      </c>
      <c r="T57" s="575">
        <f>IF(OR(VLOOKUP(A57,[1]!TOX,12,FALSE)=0,VLOOKUP(A57,[1]!TOX,38,FALSE)=0),0,IF(NOT(VLOOKUP(A57,[1]!TOX,36,FALSE)="M"), IF(K57=0,('[1]Target Risk'!$D$12*(VLOOKUP(A57,[1]!TOX,38,FALSE)))/('GW-1 Exp'!$V$21*'GW-1 Derm'!N57*(VLOOKUP(A57,[1]!TOX,12,FALSE))),IF(Q57=0,0,('[1]Target Risk'!$D$12*(VLOOKUP(A57,[1]!TOX,38,FALSE)))/('GW-1 Exp'!$J$26*'GW-1 Derm'!Q57*(VLOOKUP(A57,[1]!TOX,12,FALSE))))), IF(K57=0,('[1]Target Risk'!$D$12*(VLOOKUP(A57,[1]!TOX,38,FALSE)))/(('GW-1 Exp'!$V$26*'GW-1 Derm'!AB57*(VLOOKUP(A57,[1]!TOX,12,FALSE))*10)+('GW-1 Exp'!$V$27*'GW-1 Derm'!AC57*(VLOOKUP(A57,[1]!TOX,12,FALSE))*3)+('GW-1 Exp'!$V$28*'GW-1 Derm'!AD57*(VLOOKUP(A57,[1]!TOX,12,FALSE))*3)+('GW-1 Exp'!$V$29*'GW-1 Derm'!AE57*(VLOOKUP(A57,[1]!TOX,12,FALSE))*1)),IF(Q57=0,0,(('[1]Target Risk'!$D$12*(VLOOKUP(A57,[1]!TOX,38,FALSE)))/(('GW-1 Exp'!$J$33*'GW-1 Derm'!Q57*(VLOOKUP(A57,[1]!TOX,12,FALSE))*10)+('GW-1 Exp'!$J$34*'GW-1 Derm'!Q57*(VLOOKUP(A57,[1]!TOX,12,FALSE))*3)+('GW-1 Exp'!$J$35*'GW-1 Derm'!Q57*(VLOOKUP(A57,[1]!TOX,12,FALSE))*3)+('GW-1 Exp'!$J$36*'GW-1 Derm'!Q57*(VLOOKUP(A57,[1]!TOX,12,FALSE))*1)))))))</f>
        <v>16.623195970890976</v>
      </c>
      <c r="AB57" s="838">
        <f>L57*IF('GW-1 Exp'!U$26&lt;=$E57,2*(VLOOKUP(A57,[1]!TOX,67,FALSE))*1*0.000001*SQRT(6*$C57*'GW-1 Exp'!$U$26/PI()),(VLOOKUP(A57,[1]!TOX,67,FALSE))*1*0.000001*('GW-1 Exp'!$U$26/(1+$B57)+2*$C57*(1+3*$B57+3*$B57^2)/(1+$B57)^2))</f>
        <v>9.9875802306596364E-9</v>
      </c>
      <c r="AC57" s="837">
        <f>L57*IF('GW-1 Exp'!U$27&lt;=$E57,2*(VLOOKUP(A57,[1]!TOX,67,FALSE))*1*0.000001*SQRT(6*$C57*'GW-1 Exp'!$U$27/PI()),(VLOOKUP(A57,[1]!TOX,67,FALSE))*1*0.000001*('GW-1 Exp'!$U$27/(1+$B57)+2*$C57*(1+3*$B57+3*$B57^2)/(1+$B57)^2))</f>
        <v>1.0837419045396201E-8</v>
      </c>
      <c r="AD57" s="837">
        <f>L57*IF('GW-1 Exp'!U$28&lt;=$E57,2*(VLOOKUP(A57,[1]!TOX,67,FALSE))*1*0.000001*SQRT(6*$C57*'GW-1 Exp'!$U$28/PI()),(VLOOKUP(A57,[1]!TOX,67,FALSE))*1*0.000001*('GW-1 Exp'!$U$28/(1+$B57)+2*$C57*(1+3*$B57+3*$B57^2)/(1+$B57)^2))</f>
        <v>1.1415815619465291E-8</v>
      </c>
      <c r="AE57" s="839">
        <f>L57*IF('GW-1 Exp'!U$29&lt;=$E57,2*(VLOOKUP(A57,[1]!TOX,67,FALSE))*1*0.000001*SQRT(6*$C57*'GW-1 Exp'!$U$29/PI()),(VLOOKUP(A57,[1]!TOX,67,FALSE))*1*0.000001*('GW-1 Exp'!$U$29/(1+$B57)+2*$C57*(1+3*$B57+3*$B57^2)/(1+$B57)^2))</f>
        <v>1.3260079683197073E-8</v>
      </c>
    </row>
    <row r="58" spans="1:31" x14ac:dyDescent="0.25">
      <c r="A58" s="540" t="s">
        <v>209</v>
      </c>
      <c r="B58" s="587">
        <f>(VLOOKUP(A58,[1]!TOX,67,FALSE))*(SQRT((VLOOKUP(A58,[1]!TOX,57,FALSE)))/2.6)</f>
        <v>3.4079101924376042E-2</v>
      </c>
      <c r="C58" s="596">
        <f>('GW-1 Exp'!$O$29^2)/(6*D58)</f>
        <v>0.4399960215591352</v>
      </c>
      <c r="D58" s="486">
        <f>10^(-2.8-(0.0056*(VLOOKUP(A58,[1]!TOX,57,FALSE))))*'GW-1 Exp'!$O$29</f>
        <v>3.7879130378515654E-7</v>
      </c>
      <c r="E58" s="597">
        <f t="shared" si="0"/>
        <v>1.0559904517419245</v>
      </c>
      <c r="F58" s="597">
        <f>IF(B58&lt;=0.6,0,(G58-SQRT(G58^2-H58^2))*('GW-1 Exp'!$O$29^2/D58))</f>
        <v>0</v>
      </c>
      <c r="G58" s="582">
        <f t="shared" si="1"/>
        <v>0.32432288854857805</v>
      </c>
      <c r="H58" s="598">
        <f t="shared" si="2"/>
        <v>0.35642710481217688</v>
      </c>
      <c r="I58" s="606">
        <f>IF('GW-1 Exp'!$U$13&lt;=$E58,2*(VLOOKUP(A58,[1]!TOX,67,FALSE))*1*0.000001*SQRT(6*$C58*'GW-1 Exp'!$U$13/PI()),(VLOOKUP(A58,[1]!TOX,67,FALSE))*1*0.000001*('GW-1 Exp'!$U$13/(1+$B58)+2*$C58*(1+3*$B58+3*$B58^2)/(1+$B58)^2))</f>
        <v>1.187216947885235E-8</v>
      </c>
      <c r="J58" s="607">
        <f>IF('GW-1 Exp'!$U$21&lt;=$E58,2*(VLOOKUP(A58,[1]!TOX,67,FALSE))*1*0.000001*SQRT(6*$C58*'GW-1 Exp'!$U$21/PI()),(VLOOKUP(A58,[1]!TOX,67,FALSE))*1*0.000001*('GW-1 Exp'!$U$21/(1+$B58)+2*$C58*(1+3*$B58+3*$B58^2)/(1+$B58)^2))</f>
        <v>1.3490977424547494E-8</v>
      </c>
      <c r="K58" s="482"/>
      <c r="L58" s="554">
        <v>1</v>
      </c>
      <c r="M58" s="481">
        <f t="shared" si="3"/>
        <v>1.187216947885235E-8</v>
      </c>
      <c r="N58" s="483">
        <f t="shared" si="4"/>
        <v>1.3490977424547494E-8</v>
      </c>
      <c r="O58" s="486" t="str">
        <f>IF(VLOOKUP(A58,[1]!TOX,81,FALSE)="Y","Inorganic",IF(K58="*","Streamlined",IF($E58=0,"Reduced Steady State",IF('GW-1 Exp'!$U$13&lt;=$E58,"Non-Steady State","Steady State"))))</f>
        <v>Non-Steady State</v>
      </c>
      <c r="P58" s="485" t="str">
        <f>IF(VLOOKUP(A58,[1]!TOX,81,FALSE)="Y","Inorganic",IF(K58="*","Streamlined",IF($E58=0,0,IF('GW-1 Exp'!$U$21&lt;=$E58,"Non-Steady State","Steady State"))))</f>
        <v>Non-Steady State</v>
      </c>
      <c r="Q58" s="563">
        <f>IF(K58=0,0,IF((VLOOKUP(A58,[1]!TOX,67,FALSE))=0,0,IF((VLOOKUP(A58,[1]!TOX,67,FALSE))&lt;0.5,0.2,1)))</f>
        <v>0</v>
      </c>
      <c r="R58" s="614">
        <f>IF(K58=0,IF(M58=0,0,('[1]Target Risk'!$D$8*(VLOOKUP(A58,[1]!TOX,4,FALSE))*(VLOOKUP(A58,[1]!TOX,37,FALSE)))/('GW-1 Exp'!$V$13*'GW-1 Derm'!$M58)),('[1]Target Risk'!$D$8*(VLOOKUP(A58,[1]!TOX,4,FALSE))*(VLOOKUP(A58,[1]!TOX,37,FALSE)))/('GW-1 Exp'!$J$18*'GW-1 Derm'!$Q58))</f>
        <v>1244.3698437104842</v>
      </c>
      <c r="S58" s="574">
        <f>IF(OR(VLOOKUP(A58,[1]!TOX,12,FALSE)=0,VLOOKUP(A58,[1]!TOX,38,FALSE)=0),0,IF(K58=0,('[1]Target Risk'!$D$12*(VLOOKUP(A58,[1]!TOX,38,FALSE)))/('GW-1 Exp'!$V$21*'GW-1 Derm'!N58*(VLOOKUP(A58,[1]!TOX,12,FALSE))),IF(Q58=0,0,('[1]Target Risk'!$D$12*(VLOOKUP(A58,[1]!TOX,38,FALSE)))/('GW-1 Exp'!$J$26*'GW-1 Derm'!Q58*(VLOOKUP(A58,[1]!TOX,12,FALSE))))))</f>
        <v>5.542634604402374</v>
      </c>
      <c r="T58" s="575">
        <f>IF(OR(VLOOKUP(A58,[1]!TOX,12,FALSE)=0,VLOOKUP(A58,[1]!TOX,38,FALSE)=0),0,IF(NOT(VLOOKUP(A58,[1]!TOX,36,FALSE)="M"), IF(K58=0,('[1]Target Risk'!$D$12*(VLOOKUP(A58,[1]!TOX,38,FALSE)))/('GW-1 Exp'!$V$21*'GW-1 Derm'!N58*(VLOOKUP(A58,[1]!TOX,12,FALSE))),IF(Q58=0,0,('[1]Target Risk'!$D$12*(VLOOKUP(A58,[1]!TOX,38,FALSE)))/('GW-1 Exp'!$J$26*'GW-1 Derm'!Q58*(VLOOKUP(A58,[1]!TOX,12,FALSE))))), IF(K58=0,('[1]Target Risk'!$D$12*(VLOOKUP(A58,[1]!TOX,38,FALSE)))/(('GW-1 Exp'!$V$26*'GW-1 Derm'!AB58*(VLOOKUP(A58,[1]!TOX,12,FALSE))*10)+('GW-1 Exp'!$V$27*'GW-1 Derm'!AC58*(VLOOKUP(A58,[1]!TOX,12,FALSE))*3)+('GW-1 Exp'!$V$28*'GW-1 Derm'!AD58*(VLOOKUP(A58,[1]!TOX,12,FALSE))*3)+('GW-1 Exp'!$V$29*'GW-1 Derm'!AE58*(VLOOKUP(A58,[1]!TOX,12,FALSE))*1)),IF(Q58=0,0,(('[1]Target Risk'!$D$12*(VLOOKUP(A58,[1]!TOX,38,FALSE)))/(('GW-1 Exp'!$J$33*'GW-1 Derm'!Q58*(VLOOKUP(A58,[1]!TOX,12,FALSE))*10)+('GW-1 Exp'!$J$34*'GW-1 Derm'!Q58*(VLOOKUP(A58,[1]!TOX,12,FALSE))*3)+('GW-1 Exp'!$J$35*'GW-1 Derm'!Q58*(VLOOKUP(A58,[1]!TOX,12,FALSE))*3)+('GW-1 Exp'!$J$36*'GW-1 Derm'!Q58*(VLOOKUP(A58,[1]!TOX,12,FALSE))*1)))))))</f>
        <v>5.542634604402374</v>
      </c>
      <c r="AB58" s="838">
        <f>L58*IF('GW-1 Exp'!U$26&lt;=$E58,2*(VLOOKUP(A58,[1]!TOX,67,FALSE))*1*0.000001*SQRT(6*$C58*'GW-1 Exp'!$U$26/PI()),(VLOOKUP(A58,[1]!TOX,67,FALSE))*1*0.000001*('GW-1 Exp'!$U$26/(1+$B58)+2*$C58*(1+3*$B58+3*$B58^2)/(1+$B58)^2))</f>
        <v>1.1083075226974419E-8</v>
      </c>
      <c r="AC58" s="837">
        <f>L58*IF('GW-1 Exp'!U$27&lt;=$E58,2*(VLOOKUP(A58,[1]!TOX,67,FALSE))*1*0.000001*SQRT(6*$C58*'GW-1 Exp'!$U$27/PI()),(VLOOKUP(A58,[1]!TOX,67,FALSE))*1*0.000001*('GW-1 Exp'!$U$27/(1+$B58)+2*$C58*(1+3*$B58+3*$B58^2)/(1+$B58)^2))</f>
        <v>1.2026129229746225E-8</v>
      </c>
      <c r="AD58" s="837">
        <f>L58*IF('GW-1 Exp'!U$28&lt;=$E58,2*(VLOOKUP(A58,[1]!TOX,67,FALSE))*1*0.000001*SQRT(6*$C58*'GW-1 Exp'!$U$28/PI()),(VLOOKUP(A58,[1]!TOX,67,FALSE))*1*0.000001*('GW-1 Exp'!$U$28/(1+$B58)+2*$C58*(1+3*$B58+3*$B58^2)/(1+$B58)^2))</f>
        <v>1.2667967652405746E-8</v>
      </c>
      <c r="AE58" s="839">
        <f>L58*IF('GW-1 Exp'!U$29&lt;=$E58,2*(VLOOKUP(A58,[1]!TOX,67,FALSE))*1*0.000001*SQRT(6*$C58*'GW-1 Exp'!$U$29/PI()),(VLOOKUP(A58,[1]!TOX,67,FALSE))*1*0.000001*('GW-1 Exp'!$U$29/(1+$B58)+2*$C58*(1+3*$B58+3*$B58^2)/(1+$B58)^2))</f>
        <v>1.4714521160331349E-8</v>
      </c>
    </row>
    <row r="59" spans="1:31" x14ac:dyDescent="0.25">
      <c r="A59" s="540" t="s">
        <v>210</v>
      </c>
      <c r="B59" s="587">
        <f>(VLOOKUP(A59,[1]!TOX,67,FALSE))*(SQRT((VLOOKUP(A59,[1]!TOX,57,FALSE)))/2.6)</f>
        <v>0.32054509809717202</v>
      </c>
      <c r="C59" s="596">
        <f>('GW-1 Exp'!$O$29^2)/(6*D59)</f>
        <v>14.303711750900273</v>
      </c>
      <c r="D59" s="486">
        <f>10^(-2.8-(0.0056*(VLOOKUP(A59,[1]!TOX,57,FALSE))))*'GW-1 Exp'!$O$29</f>
        <v>1.1651987230249987E-8</v>
      </c>
      <c r="E59" s="597">
        <f t="shared" si="0"/>
        <v>34.328908202160655</v>
      </c>
      <c r="F59" s="597">
        <f>IF(B59&lt;=0.6,0,(G59-SQRT(G59^2-H59^2))*('GW-1 Exp'!$O$29^2/D59))</f>
        <v>0</v>
      </c>
      <c r="G59" s="582">
        <f t="shared" si="1"/>
        <v>0.53719650135040431</v>
      </c>
      <c r="H59" s="598">
        <f t="shared" si="2"/>
        <v>0.57296611258099928</v>
      </c>
      <c r="I59" s="606">
        <f>IF('GW-1 Exp'!$U$13&lt;=$E59,2*(VLOOKUP(A59,[1]!TOX,67,FALSE))*1*0.000001*SQRT(6*$C59*'GW-1 Exp'!$U$13/PI()),(VLOOKUP(A59,[1]!TOX,67,FALSE))*1*0.000001*('GW-1 Exp'!$U$13/(1+$B59)+2*$C59*(1+3*$B59+3*$B59^2)/(1+$B59)^2))</f>
        <v>3.4366087194709055E-7</v>
      </c>
      <c r="J59" s="607">
        <f>IF('GW-1 Exp'!$U$21&lt;=$E59,2*(VLOOKUP(A59,[1]!TOX,67,FALSE))*1*0.000001*SQRT(6*$C59*'GW-1 Exp'!$U$21/PI()),(VLOOKUP(A59,[1]!TOX,67,FALSE))*1*0.000001*('GW-1 Exp'!$U$21/(1+$B59)+2*$C59*(1+3*$B59+3*$B59^2)/(1+$B59)^2))</f>
        <v>3.9052012131372353E-7</v>
      </c>
      <c r="K59" s="482" t="s">
        <v>91</v>
      </c>
      <c r="L59" s="554">
        <v>0.8</v>
      </c>
      <c r="M59" s="481">
        <f t="shared" si="3"/>
        <v>2.7492869755767244E-7</v>
      </c>
      <c r="N59" s="483">
        <f t="shared" si="4"/>
        <v>3.1241609705097885E-7</v>
      </c>
      <c r="O59" s="486" t="str">
        <f>IF(VLOOKUP(A59,[1]!TOX,81,FALSE)="Y","Inorganic",IF(K59="*","Streamlined",IF($E59=0,"Reduced Steady State",IF('GW-1 Exp'!$U$13&lt;=$E59,"Non-Steady State","Steady State"))))</f>
        <v>Streamlined</v>
      </c>
      <c r="P59" s="485" t="str">
        <f>IF(VLOOKUP(A59,[1]!TOX,81,FALSE)="Y","Inorganic",IF(K59="*","Streamlined",IF($E59=0,0,IF('GW-1 Exp'!$U$21&lt;=$E59,"Non-Steady State","Steady State"))))</f>
        <v>Streamlined</v>
      </c>
      <c r="Q59" s="563">
        <f>IF(K59=0,0,IF((VLOOKUP(A59,[1]!TOX,67,FALSE))=0,0,IF((VLOOKUP(A59,[1]!TOX,67,FALSE))&lt;0.5,0.2,1)))</f>
        <v>0.2</v>
      </c>
      <c r="R59" s="614">
        <f>IF(K59=0,IF(M59=0,0,('[1]Target Risk'!$D$8*(VLOOKUP(A59,[1]!TOX,4,FALSE))*(VLOOKUP(A59,[1]!TOX,37,FALSE)))/('GW-1 Exp'!$V$13*'GW-1 Derm'!$M59)),('[1]Target Risk'!$D$8*(VLOOKUP(A59,[1]!TOX,4,FALSE))*(VLOOKUP(A59,[1]!TOX,37,FALSE)))/('GW-1 Exp'!$J$18*'GW-1 Derm'!$Q59))</f>
        <v>0.64877747252747264</v>
      </c>
      <c r="S59" s="574">
        <f>IF(OR(VLOOKUP(A59,[1]!TOX,12,FALSE)=0,VLOOKUP(A59,[1]!TOX,38,FALSE)=0),0,IF(K59=0,('[1]Target Risk'!$D$12*(VLOOKUP(A59,[1]!TOX,38,FALSE)))/('GW-1 Exp'!$V$21*'GW-1 Derm'!N59*(VLOOKUP(A59,[1]!TOX,12,FALSE))),IF(Q59=0,0,('[1]Target Risk'!$D$12*(VLOOKUP(A59,[1]!TOX,38,FALSE)))/('GW-1 Exp'!$J$26*'GW-1 Derm'!Q59*(VLOOKUP(A59,[1]!TOX,12,FALSE))))))</f>
        <v>1.3815555111372819E-2</v>
      </c>
      <c r="T59" s="575">
        <f>IF(OR(VLOOKUP(A59,[1]!TOX,12,FALSE)=0,VLOOKUP(A59,[1]!TOX,38,FALSE)=0),0,IF(NOT(VLOOKUP(A59,[1]!TOX,36,FALSE)="M"), IF(K59=0,('[1]Target Risk'!$D$12*(VLOOKUP(A59,[1]!TOX,38,FALSE)))/('GW-1 Exp'!$V$21*'GW-1 Derm'!N59*(VLOOKUP(A59,[1]!TOX,12,FALSE))),IF(Q59=0,0,('[1]Target Risk'!$D$12*(VLOOKUP(A59,[1]!TOX,38,FALSE)))/('GW-1 Exp'!$J$26*'GW-1 Derm'!Q59*(VLOOKUP(A59,[1]!TOX,12,FALSE))))), IF(K59=0,('[1]Target Risk'!$D$12*(VLOOKUP(A59,[1]!TOX,38,FALSE)))/(('GW-1 Exp'!$V$26*'GW-1 Derm'!AB59*(VLOOKUP(A59,[1]!TOX,12,FALSE))*10)+('GW-1 Exp'!$V$27*'GW-1 Derm'!AC59*(VLOOKUP(A59,[1]!TOX,12,FALSE))*3)+('GW-1 Exp'!$V$28*'GW-1 Derm'!AD59*(VLOOKUP(A59,[1]!TOX,12,FALSE))*3)+('GW-1 Exp'!$V$29*'GW-1 Derm'!AE59*(VLOOKUP(A59,[1]!TOX,12,FALSE))*1)),IF(Q59=0,0,(('[1]Target Risk'!$D$12*(VLOOKUP(A59,[1]!TOX,38,FALSE)))/(('GW-1 Exp'!$J$33*'GW-1 Derm'!Q59*(VLOOKUP(A59,[1]!TOX,12,FALSE))*10)+('GW-1 Exp'!$J$34*'GW-1 Derm'!Q59*(VLOOKUP(A59,[1]!TOX,12,FALSE))*3)+('GW-1 Exp'!$J$35*'GW-1 Derm'!Q59*(VLOOKUP(A59,[1]!TOX,12,FALSE))*3)+('GW-1 Exp'!$J$36*'GW-1 Derm'!Q59*(VLOOKUP(A59,[1]!TOX,12,FALSE))*1)))))))</f>
        <v>1.3815555111372819E-2</v>
      </c>
      <c r="AB59" s="838">
        <f>L59*IF('GW-1 Exp'!U$26&lt;=$E59,2*(VLOOKUP(A59,[1]!TOX,67,FALSE))*1*0.000001*SQRT(6*$C59*'GW-1 Exp'!$U$26/PI()),(VLOOKUP(A59,[1]!TOX,67,FALSE))*1*0.000001*('GW-1 Exp'!$U$26/(1+$B59)+2*$C59*(1+3*$B59+3*$B59^2)/(1+$B59)^2))</f>
        <v>2.5665531834880211E-7</v>
      </c>
      <c r="AC59" s="837">
        <f>L59*IF('GW-1 Exp'!U$27&lt;=$E59,2*(VLOOKUP(A59,[1]!TOX,67,FALSE))*1*0.000001*SQRT(6*$C59*'GW-1 Exp'!$U$27/PI()),(VLOOKUP(A59,[1]!TOX,67,FALSE))*1*0.000001*('GW-1 Exp'!$U$27/(1+$B59)+2*$C59*(1+3*$B59+3*$B59^2)/(1+$B59)^2))</f>
        <v>2.7849400665008008E-7</v>
      </c>
      <c r="AD59" s="837">
        <f>L59*IF('GW-1 Exp'!U$28&lt;=$E59,2*(VLOOKUP(A59,[1]!TOX,67,FALSE))*1*0.000001*SQRT(6*$C59*'GW-1 Exp'!$U$28/PI()),(VLOOKUP(A59,[1]!TOX,67,FALSE))*1*0.000001*('GW-1 Exp'!$U$28/(1+$B59)+2*$C59*(1+3*$B59+3*$B59^2)/(1+$B59)^2))</f>
        <v>2.9335732223014976E-7</v>
      </c>
      <c r="AE59" s="839">
        <f>L59*IF('GW-1 Exp'!U$29&lt;=$E59,2*(VLOOKUP(A59,[1]!TOX,67,FALSE))*1*0.000001*SQRT(6*$C59*'GW-1 Exp'!$U$29/PI()),(VLOOKUP(A59,[1]!TOX,67,FALSE))*1*0.000001*('GW-1 Exp'!$U$29/(1+$B59)+2*$C59*(1+3*$B59+3*$B59^2)/(1+$B59)^2))</f>
        <v>3.4075020113221726E-7</v>
      </c>
    </row>
    <row r="60" spans="1:31" x14ac:dyDescent="0.25">
      <c r="A60" s="540" t="s">
        <v>211</v>
      </c>
      <c r="B60" s="587">
        <f>(VLOOKUP(A60,[1]!TOX,67,FALSE))*(SQRT((VLOOKUP(A60,[1]!TOX,57,FALSE)))/2.6)</f>
        <v>2.0521218249563267E-2</v>
      </c>
      <c r="C60" s="596">
        <f>('GW-1 Exp'!$O$29^2)/(6*D60)</f>
        <v>1.840978639981051</v>
      </c>
      <c r="D60" s="486">
        <f>10^(-2.8-(0.0056*(VLOOKUP(A60,[1]!TOX,57,FALSE))))*'GW-1 Exp'!$O$29</f>
        <v>9.0531559164848395E-8</v>
      </c>
      <c r="E60" s="597">
        <f t="shared" si="0"/>
        <v>4.4183487359545222</v>
      </c>
      <c r="F60" s="597">
        <f>IF(B60&lt;=0.6,0,(G60-SQRT(G60^2-H60^2))*('GW-1 Exp'!$O$29^2/D60))</f>
        <v>0</v>
      </c>
      <c r="G60" s="582">
        <f t="shared" si="1"/>
        <v>0.31586459626451252</v>
      </c>
      <c r="H60" s="598">
        <f t="shared" si="2"/>
        <v>0.34715169625675185</v>
      </c>
      <c r="I60" s="606">
        <f>IF('GW-1 Exp'!$U$13&lt;=$E60,2*(VLOOKUP(A60,[1]!TOX,67,FALSE))*1*0.000001*SQRT(6*$C60*'GW-1 Exp'!$U$13/PI()),(VLOOKUP(A60,[1]!TOX,67,FALSE))*1*0.000001*('GW-1 Exp'!$U$13/(1+$B60)+2*$C60*(1+3*$B60+3*$B60^2)/(1+$B60)^2))</f>
        <v>1.0340227349868256E-8</v>
      </c>
      <c r="J60" s="607">
        <f>IF('GW-1 Exp'!$U$21&lt;=$E60,2*(VLOOKUP(A60,[1]!TOX,67,FALSE))*1*0.000001*SQRT(6*$C60*'GW-1 Exp'!$U$21/PI()),(VLOOKUP(A60,[1]!TOX,67,FALSE))*1*0.000001*('GW-1 Exp'!$U$21/(1+$B60)+2*$C60*(1+3*$B60+3*$B60^2)/(1+$B60)^2))</f>
        <v>1.1750150129700328E-8</v>
      </c>
      <c r="K60" s="482"/>
      <c r="L60" s="554">
        <v>1</v>
      </c>
      <c r="M60" s="481">
        <f t="shared" si="3"/>
        <v>1.0340227349868256E-8</v>
      </c>
      <c r="N60" s="483">
        <f t="shared" si="4"/>
        <v>1.1750150129700328E-8</v>
      </c>
      <c r="O60" s="486" t="str">
        <f>IF(VLOOKUP(A60,[1]!TOX,81,FALSE)="Y","Inorganic",IF(K60="*","Streamlined",IF($E60=0,"Reduced Steady State",IF('GW-1 Exp'!$U$13&lt;=$E60,"Non-Steady State","Steady State"))))</f>
        <v>Non-Steady State</v>
      </c>
      <c r="P60" s="485" t="str">
        <f>IF(VLOOKUP(A60,[1]!TOX,81,FALSE)="Y","Inorganic",IF(K60="*","Streamlined",IF($E60=0,0,IF('GW-1 Exp'!$U$21&lt;=$E60,"Non-Steady State","Steady State"))))</f>
        <v>Non-Steady State</v>
      </c>
      <c r="Q60" s="563">
        <f>IF(K60=0,0,IF((VLOOKUP(A60,[1]!TOX,67,FALSE))=0,0,IF((VLOOKUP(A60,[1]!TOX,67,FALSE))&lt;0.5,0.2,1)))</f>
        <v>0</v>
      </c>
      <c r="R60" s="614">
        <f>IF(K60=0,IF(M60=0,0,('[1]Target Risk'!$D$8*(VLOOKUP(A60,[1]!TOX,4,FALSE))*(VLOOKUP(A60,[1]!TOX,37,FALSE)))/('GW-1 Exp'!$V$13*'GW-1 Derm'!$M60)),('[1]Target Risk'!$D$8*(VLOOKUP(A60,[1]!TOX,4,FALSE))*(VLOOKUP(A60,[1]!TOX,37,FALSE)))/('GW-1 Exp'!$J$18*'GW-1 Derm'!$Q60))</f>
        <v>38099.406467672066</v>
      </c>
      <c r="S60" s="574">
        <f>IF(OR(VLOOKUP(A60,[1]!TOX,12,FALSE)=0,VLOOKUP(A60,[1]!TOX,38,FALSE)=0),0,IF(K60=0,('[1]Target Risk'!$D$12*(VLOOKUP(A60,[1]!TOX,38,FALSE)))/('GW-1 Exp'!$V$21*'GW-1 Derm'!N60*(VLOOKUP(A60,[1]!TOX,12,FALSE))),IF(Q60=0,0,('[1]Target Risk'!$D$12*(VLOOKUP(A60,[1]!TOX,38,FALSE)))/('GW-1 Exp'!$J$26*'GW-1 Derm'!Q60*(VLOOKUP(A60,[1]!TOX,12,FALSE))))))</f>
        <v>0</v>
      </c>
      <c r="T60" s="575">
        <f>IF(OR(VLOOKUP(A60,[1]!TOX,12,FALSE)=0,VLOOKUP(A60,[1]!TOX,38,FALSE)=0),0,IF(NOT(VLOOKUP(A60,[1]!TOX,36,FALSE)="M"), IF(K60=0,('[1]Target Risk'!$D$12*(VLOOKUP(A60,[1]!TOX,38,FALSE)))/('GW-1 Exp'!$V$21*'GW-1 Derm'!N60*(VLOOKUP(A60,[1]!TOX,12,FALSE))),IF(Q60=0,0,('[1]Target Risk'!$D$12*(VLOOKUP(A60,[1]!TOX,38,FALSE)))/('GW-1 Exp'!$J$26*'GW-1 Derm'!Q60*(VLOOKUP(A60,[1]!TOX,12,FALSE))))), IF(K60=0,('[1]Target Risk'!$D$12*(VLOOKUP(A60,[1]!TOX,38,FALSE)))/(('GW-1 Exp'!$V$26*'GW-1 Derm'!AB60*(VLOOKUP(A60,[1]!TOX,12,FALSE))*10)+('GW-1 Exp'!$V$27*'GW-1 Derm'!AC60*(VLOOKUP(A60,[1]!TOX,12,FALSE))*3)+('GW-1 Exp'!$V$28*'GW-1 Derm'!AD60*(VLOOKUP(A60,[1]!TOX,12,FALSE))*3)+('GW-1 Exp'!$V$29*'GW-1 Derm'!AE60*(VLOOKUP(A60,[1]!TOX,12,FALSE))*1)),IF(Q60=0,0,(('[1]Target Risk'!$D$12*(VLOOKUP(A60,[1]!TOX,38,FALSE)))/(('GW-1 Exp'!$J$33*'GW-1 Derm'!Q60*(VLOOKUP(A60,[1]!TOX,12,FALSE))*10)+('GW-1 Exp'!$J$34*'GW-1 Derm'!Q60*(VLOOKUP(A60,[1]!TOX,12,FALSE))*3)+('GW-1 Exp'!$J$35*'GW-1 Derm'!Q60*(VLOOKUP(A60,[1]!TOX,12,FALSE))*3)+('GW-1 Exp'!$J$36*'GW-1 Derm'!Q60*(VLOOKUP(A60,[1]!TOX,12,FALSE))*1)))))))</f>
        <v>0</v>
      </c>
      <c r="AB60" s="838">
        <f>L60*IF('GW-1 Exp'!U$26&lt;=$E60,2*(VLOOKUP(A60,[1]!TOX,67,FALSE))*1*0.000001*SQRT(6*$C60*'GW-1 Exp'!$U$26/PI()),(VLOOKUP(A60,[1]!TOX,67,FALSE))*1*0.000001*('GW-1 Exp'!$U$26/(1+$B60)+2*$C60*(1+3*$B60+3*$B60^2)/(1+$B60)^2))</f>
        <v>9.6529549874389458E-9</v>
      </c>
      <c r="AC60" s="837">
        <f>L60*IF('GW-1 Exp'!U$27&lt;=$E60,2*(VLOOKUP(A60,[1]!TOX,67,FALSE))*1*0.000001*SQRT(6*$C60*'GW-1 Exp'!$U$27/PI()),(VLOOKUP(A60,[1]!TOX,67,FALSE))*1*0.000001*('GW-1 Exp'!$U$27/(1+$B60)+2*$C60*(1+3*$B60+3*$B60^2)/(1+$B60)^2))</f>
        <v>1.047432068721553E-8</v>
      </c>
      <c r="AD60" s="837">
        <f>L60*IF('GW-1 Exp'!U$28&lt;=$E60,2*(VLOOKUP(A60,[1]!TOX,67,FALSE))*1*0.000001*SQRT(6*$C60*'GW-1 Exp'!$U$28/PI()),(VLOOKUP(A60,[1]!TOX,67,FALSE))*1*0.000001*('GW-1 Exp'!$U$28/(1+$B60)+2*$C60*(1+3*$B60+3*$B60^2)/(1+$B60)^2))</f>
        <v>1.1033338583986815E-8</v>
      </c>
      <c r="AE60" s="839">
        <f>L60*IF('GW-1 Exp'!U$29&lt;=$E60,2*(VLOOKUP(A60,[1]!TOX,67,FALSE))*1*0.000001*SQRT(6*$C60*'GW-1 Exp'!$U$29/PI()),(VLOOKUP(A60,[1]!TOX,67,FALSE))*1*0.000001*('GW-1 Exp'!$U$29/(1+$B60)+2*$C60*(1+3*$B60+3*$B60^2)/(1+$B60)^2))</f>
        <v>1.281581217428691E-8</v>
      </c>
    </row>
    <row r="61" spans="1:31" x14ac:dyDescent="0.25">
      <c r="A61" s="540" t="s">
        <v>212</v>
      </c>
      <c r="B61" s="587">
        <f>(VLOOKUP(A61,[1]!TOX,67,FALSE))*(SQRT((VLOOKUP(A61,[1]!TOX,57,FALSE)))/2.6)</f>
        <v>7.9163961149590067E-3</v>
      </c>
      <c r="C61" s="596">
        <f>('GW-1 Exp'!$O$29^2)/(6*D61)</f>
        <v>1.2830652698823937</v>
      </c>
      <c r="D61" s="486">
        <f>10^(-2.8-(0.0056*(VLOOKUP(A61,[1]!TOX,57,FALSE))))*'GW-1 Exp'!$O$29</f>
        <v>1.2989726288978533E-7</v>
      </c>
      <c r="E61" s="597">
        <f t="shared" si="0"/>
        <v>3.0793566477177445</v>
      </c>
      <c r="F61" s="597">
        <f>IF(B61&lt;=0.6,0,(G61-SQRT(G61^2-H61^2))*('GW-1 Exp'!$O$29^2/D61))</f>
        <v>0</v>
      </c>
      <c r="G61" s="582">
        <f t="shared" si="1"/>
        <v>0.30810748103966207</v>
      </c>
      <c r="H61" s="598">
        <f t="shared" si="2"/>
        <v>0.3386316564462481</v>
      </c>
      <c r="I61" s="606">
        <f>IF('GW-1 Exp'!$U$13&lt;=$E61,2*(VLOOKUP(A61,[1]!TOX,67,FALSE))*1*0.000001*SQRT(6*$C61*'GW-1 Exp'!$U$13/PI()),(VLOOKUP(A61,[1]!TOX,67,FALSE))*1*0.000001*('GW-1 Exp'!$U$13/(1+$B61)+2*$C61*(1+3*$B61+3*$B61^2)/(1+$B61)^2))</f>
        <v>3.562296692575835E-9</v>
      </c>
      <c r="J61" s="607">
        <f>IF('GW-1 Exp'!$U$21&lt;=$E61,2*(VLOOKUP(A61,[1]!TOX,67,FALSE))*1*0.000001*SQRT(6*$C61*'GW-1 Exp'!$U$21/PI()),(VLOOKUP(A61,[1]!TOX,67,FALSE))*1*0.000001*('GW-1 Exp'!$U$21/(1+$B61)+2*$C61*(1+3*$B61+3*$B61^2)/(1+$B61)^2))</f>
        <v>4.0480271398321144E-9</v>
      </c>
      <c r="K61" s="482"/>
      <c r="L61" s="554">
        <v>1</v>
      </c>
      <c r="M61" s="481">
        <f t="shared" si="3"/>
        <v>3.562296692575835E-9</v>
      </c>
      <c r="N61" s="483">
        <f t="shared" si="4"/>
        <v>4.0480271398321144E-9</v>
      </c>
      <c r="O61" s="486" t="str">
        <f>IF(VLOOKUP(A61,[1]!TOX,81,FALSE)="Y","Inorganic",IF(K61="*","Streamlined",IF($E61=0,"Reduced Steady State",IF('GW-1 Exp'!$U$13&lt;=$E61,"Non-Steady State","Steady State"))))</f>
        <v>Non-Steady State</v>
      </c>
      <c r="P61" s="485" t="str">
        <f>IF(VLOOKUP(A61,[1]!TOX,81,FALSE)="Y","Inorganic",IF(K61="*","Streamlined",IF($E61=0,0,IF('GW-1 Exp'!$U$21&lt;=$E61,"Non-Steady State","Steady State"))))</f>
        <v>Non-Steady State</v>
      </c>
      <c r="Q61" s="563">
        <f>IF(K61=0,0,IF((VLOOKUP(A61,[1]!TOX,67,FALSE))=0,0,IF((VLOOKUP(A61,[1]!TOX,67,FALSE))&lt;0.5,0.2,1)))</f>
        <v>0</v>
      </c>
      <c r="R61" s="614">
        <f>IF(K61=0,IF(M61=0,0,('[1]Target Risk'!$D$8*(VLOOKUP(A61,[1]!TOX,4,FALSE))*(VLOOKUP(A61,[1]!TOX,37,FALSE)))/('GW-1 Exp'!$V$13*'GW-1 Derm'!$M61)),('[1]Target Risk'!$D$8*(VLOOKUP(A61,[1]!TOX,4,FALSE))*(VLOOKUP(A61,[1]!TOX,37,FALSE)))/('GW-1 Exp'!$J$18*'GW-1 Derm'!$Q61))</f>
        <v>13823.824865283297</v>
      </c>
      <c r="S61" s="574">
        <f>IF(OR(VLOOKUP(A61,[1]!TOX,12,FALSE)=0,VLOOKUP(A61,[1]!TOX,38,FALSE)=0),0,IF(K61=0,('[1]Target Risk'!$D$12*(VLOOKUP(A61,[1]!TOX,38,FALSE)))/('GW-1 Exp'!$V$21*'GW-1 Derm'!N61*(VLOOKUP(A61,[1]!TOX,12,FALSE))),IF(Q61=0,0,('[1]Target Risk'!$D$12*(VLOOKUP(A61,[1]!TOX,38,FALSE)))/('GW-1 Exp'!$J$26*'GW-1 Derm'!Q61*(VLOOKUP(A61,[1]!TOX,12,FALSE))))))</f>
        <v>0</v>
      </c>
      <c r="T61" s="575">
        <f>IF(OR(VLOOKUP(A61,[1]!TOX,12,FALSE)=0,VLOOKUP(A61,[1]!TOX,38,FALSE)=0),0,IF(NOT(VLOOKUP(A61,[1]!TOX,36,FALSE)="M"), IF(K61=0,('[1]Target Risk'!$D$12*(VLOOKUP(A61,[1]!TOX,38,FALSE)))/('GW-1 Exp'!$V$21*'GW-1 Derm'!N61*(VLOOKUP(A61,[1]!TOX,12,FALSE))),IF(Q61=0,0,('[1]Target Risk'!$D$12*(VLOOKUP(A61,[1]!TOX,38,FALSE)))/('GW-1 Exp'!$J$26*'GW-1 Derm'!Q61*(VLOOKUP(A61,[1]!TOX,12,FALSE))))), IF(K61=0,('[1]Target Risk'!$D$12*(VLOOKUP(A61,[1]!TOX,38,FALSE)))/(('GW-1 Exp'!$V$26*'GW-1 Derm'!AB61*(VLOOKUP(A61,[1]!TOX,12,FALSE))*10)+('GW-1 Exp'!$V$27*'GW-1 Derm'!AC61*(VLOOKUP(A61,[1]!TOX,12,FALSE))*3)+('GW-1 Exp'!$V$28*'GW-1 Derm'!AD61*(VLOOKUP(A61,[1]!TOX,12,FALSE))*3)+('GW-1 Exp'!$V$29*'GW-1 Derm'!AE61*(VLOOKUP(A61,[1]!TOX,12,FALSE))*1)),IF(Q61=0,0,(('[1]Target Risk'!$D$12*(VLOOKUP(A61,[1]!TOX,38,FALSE)))/(('GW-1 Exp'!$J$33*'GW-1 Derm'!Q61*(VLOOKUP(A61,[1]!TOX,12,FALSE))*10)+('GW-1 Exp'!$J$34*'GW-1 Derm'!Q61*(VLOOKUP(A61,[1]!TOX,12,FALSE))*3)+('GW-1 Exp'!$J$35*'GW-1 Derm'!Q61*(VLOOKUP(A61,[1]!TOX,12,FALSE))*3)+('GW-1 Exp'!$J$36*'GW-1 Derm'!Q61*(VLOOKUP(A61,[1]!TOX,12,FALSE))*1)))))))</f>
        <v>0</v>
      </c>
      <c r="AB61" s="838">
        <f>L61*IF('GW-1 Exp'!U$26&lt;=$E61,2*(VLOOKUP(A61,[1]!TOX,67,FALSE))*1*0.000001*SQRT(6*$C61*'GW-1 Exp'!$U$26/PI()),(VLOOKUP(A61,[1]!TOX,67,FALSE))*1*0.000001*('GW-1 Exp'!$U$26/(1+$B61)+2*$C61*(1+3*$B61+3*$B61^2)/(1+$B61)^2))</f>
        <v>3.3255254900923706E-9</v>
      </c>
      <c r="AC61" s="837">
        <f>L61*IF('GW-1 Exp'!U$27&lt;=$E61,2*(VLOOKUP(A61,[1]!TOX,67,FALSE))*1*0.000001*SQRT(6*$C61*'GW-1 Exp'!$U$27/PI()),(VLOOKUP(A61,[1]!TOX,67,FALSE))*1*0.000001*('GW-1 Exp'!$U$27/(1+$B61)+2*$C61*(1+3*$B61+3*$B61^2)/(1+$B61)^2))</f>
        <v>3.6084929932920598E-9</v>
      </c>
      <c r="AD61" s="837">
        <f>L61*IF('GW-1 Exp'!U$28&lt;=$E61,2*(VLOOKUP(A61,[1]!TOX,67,FALSE))*1*0.000001*SQRT(6*$C61*'GW-1 Exp'!$U$28/PI()),(VLOOKUP(A61,[1]!TOX,67,FALSE))*1*0.000001*('GW-1 Exp'!$U$28/(1+$B61)+2*$C61*(1+3*$B61+3*$B61^2)/(1+$B61)^2))</f>
        <v>3.8010794362569162E-9</v>
      </c>
      <c r="AE61" s="839">
        <f>L61*IF('GW-1 Exp'!U$29&lt;=$E61,2*(VLOOKUP(A61,[1]!TOX,67,FALSE))*1*0.000001*SQRT(6*$C61*'GW-1 Exp'!$U$29/PI()),(VLOOKUP(A61,[1]!TOX,67,FALSE))*1*0.000001*('GW-1 Exp'!$U$29/(1+$B61)+2*$C61*(1+3*$B61+3*$B61^2)/(1+$B61)^2))</f>
        <v>4.4151568216454204E-9</v>
      </c>
    </row>
    <row r="62" spans="1:31" x14ac:dyDescent="0.25">
      <c r="A62" s="540" t="s">
        <v>213</v>
      </c>
      <c r="B62" s="587">
        <f>(VLOOKUP(A62,[1]!TOX,67,FALSE))*(SQRT((VLOOKUP(A62,[1]!TOX,57,FALSE)))/2.6)</f>
        <v>4.6026353359721849E-2</v>
      </c>
      <c r="C62" s="596">
        <f>('GW-1 Exp'!$O$29^2)/(6*D62)</f>
        <v>0.50704762124682723</v>
      </c>
      <c r="D62" s="486">
        <f>10^(-2.8-(0.0056*(VLOOKUP(A62,[1]!TOX,57,FALSE))))*'GW-1 Exp'!$O$29</f>
        <v>3.2870022396877492E-7</v>
      </c>
      <c r="E62" s="597">
        <f t="shared" si="0"/>
        <v>1.2169142909923854</v>
      </c>
      <c r="F62" s="597">
        <f>IF(B62&lt;=0.6,0,(G62-SQRT(G62^2-H62^2))*('GW-1 Exp'!$O$29^2/D62))</f>
        <v>0</v>
      </c>
      <c r="G62" s="582">
        <f t="shared" si="1"/>
        <v>0.33187833733723737</v>
      </c>
      <c r="H62" s="598">
        <f t="shared" si="2"/>
        <v>0.36469263959878573</v>
      </c>
      <c r="I62" s="606">
        <f>IF('GW-1 Exp'!$U$13&lt;=$E62,2*(VLOOKUP(A62,[1]!TOX,67,FALSE))*1*0.000001*SQRT(6*$C62*'GW-1 Exp'!$U$13/PI()),(VLOOKUP(A62,[1]!TOX,67,FALSE))*1*0.000001*('GW-1 Exp'!$U$13/(1+$B62)+2*$C62*(1+3*$B62+3*$B62^2)/(1+$B62)^2))</f>
        <v>1.6418371855499923E-8</v>
      </c>
      <c r="J62" s="607">
        <f>IF('GW-1 Exp'!$U$21&lt;=$E62,2*(VLOOKUP(A62,[1]!TOX,67,FALSE))*1*0.000001*SQRT(6*$C62*'GW-1 Exp'!$U$21/PI()),(VLOOKUP(A62,[1]!TOX,67,FALSE))*1*0.000001*('GW-1 Exp'!$U$21/(1+$B62)+2*$C62*(1+3*$B62+3*$B62^2)/(1+$B62)^2))</f>
        <v>1.8657068907660778E-8</v>
      </c>
      <c r="K62" s="482"/>
      <c r="L62" s="554">
        <v>1</v>
      </c>
      <c r="M62" s="481">
        <f t="shared" si="3"/>
        <v>1.6418371855499923E-8</v>
      </c>
      <c r="N62" s="483">
        <f t="shared" si="4"/>
        <v>1.8657068907660778E-8</v>
      </c>
      <c r="O62" s="486" t="str">
        <f>IF(VLOOKUP(A62,[1]!TOX,81,FALSE)="Y","Inorganic",IF(K62="*","Streamlined",IF($E62=0,"Reduced Steady State",IF('GW-1 Exp'!$U$13&lt;=$E62,"Non-Steady State","Steady State"))))</f>
        <v>Non-Steady State</v>
      </c>
      <c r="P62" s="485" t="str">
        <f>IF(VLOOKUP(A62,[1]!TOX,81,FALSE)="Y","Inorganic",IF(K62="*","Streamlined",IF($E62=0,0,IF('GW-1 Exp'!$U$21&lt;=$E62,"Non-Steady State","Steady State"))))</f>
        <v>Non-Steady State</v>
      </c>
      <c r="Q62" s="563">
        <f>IF(K62=0,0,IF((VLOOKUP(A62,[1]!TOX,67,FALSE))=0,0,IF((VLOOKUP(A62,[1]!TOX,67,FALSE))&lt;0.5,0.2,1)))</f>
        <v>0</v>
      </c>
      <c r="R62" s="614">
        <f>IF(K62=0,IF(M62=0,0,('[1]Target Risk'!$D$8*(VLOOKUP(A62,[1]!TOX,4,FALSE))*(VLOOKUP(A62,[1]!TOX,37,FALSE)))/('GW-1 Exp'!$V$13*'GW-1 Derm'!$M62)),('[1]Target Risk'!$D$8*(VLOOKUP(A62,[1]!TOX,4,FALSE))*(VLOOKUP(A62,[1]!TOX,37,FALSE)))/('GW-1 Exp'!$J$18*'GW-1 Derm'!$Q62))</f>
        <v>599.87148579352015</v>
      </c>
      <c r="S62" s="574">
        <f>IF(OR(VLOOKUP(A62,[1]!TOX,12,FALSE)=0,VLOOKUP(A62,[1]!TOX,38,FALSE)=0),0,IF(K62=0,('[1]Target Risk'!$D$12*(VLOOKUP(A62,[1]!TOX,38,FALSE)))/('GW-1 Exp'!$V$21*'GW-1 Derm'!N62*(VLOOKUP(A62,[1]!TOX,12,FALSE))),IF(Q62=0,0,('[1]Target Risk'!$D$12*(VLOOKUP(A62,[1]!TOX,38,FALSE)))/('GW-1 Exp'!$J$26*'GW-1 Derm'!Q62*(VLOOKUP(A62,[1]!TOX,12,FALSE))))))</f>
        <v>0</v>
      </c>
      <c r="T62" s="575">
        <f>IF(OR(VLOOKUP(A62,[1]!TOX,12,FALSE)=0,VLOOKUP(A62,[1]!TOX,38,FALSE)=0),0,IF(NOT(VLOOKUP(A62,[1]!TOX,36,FALSE)="M"), IF(K62=0,('[1]Target Risk'!$D$12*(VLOOKUP(A62,[1]!TOX,38,FALSE)))/('GW-1 Exp'!$V$21*'GW-1 Derm'!N62*(VLOOKUP(A62,[1]!TOX,12,FALSE))),IF(Q62=0,0,('[1]Target Risk'!$D$12*(VLOOKUP(A62,[1]!TOX,38,FALSE)))/('GW-1 Exp'!$J$26*'GW-1 Derm'!Q62*(VLOOKUP(A62,[1]!TOX,12,FALSE))))), IF(K62=0,('[1]Target Risk'!$D$12*(VLOOKUP(A62,[1]!TOX,38,FALSE)))/(('GW-1 Exp'!$V$26*'GW-1 Derm'!AB62*(VLOOKUP(A62,[1]!TOX,12,FALSE))*10)+('GW-1 Exp'!$V$27*'GW-1 Derm'!AC62*(VLOOKUP(A62,[1]!TOX,12,FALSE))*3)+('GW-1 Exp'!$V$28*'GW-1 Derm'!AD62*(VLOOKUP(A62,[1]!TOX,12,FALSE))*3)+('GW-1 Exp'!$V$29*'GW-1 Derm'!AE62*(VLOOKUP(A62,[1]!TOX,12,FALSE))*1)),IF(Q62=0,0,(('[1]Target Risk'!$D$12*(VLOOKUP(A62,[1]!TOX,38,FALSE)))/(('GW-1 Exp'!$J$33*'GW-1 Derm'!Q62*(VLOOKUP(A62,[1]!TOX,12,FALSE))*10)+('GW-1 Exp'!$J$34*'GW-1 Derm'!Q62*(VLOOKUP(A62,[1]!TOX,12,FALSE))*3)+('GW-1 Exp'!$J$35*'GW-1 Derm'!Q62*(VLOOKUP(A62,[1]!TOX,12,FALSE))*3)+('GW-1 Exp'!$J$36*'GW-1 Derm'!Q62*(VLOOKUP(A62,[1]!TOX,12,FALSE))*1)))))))</f>
        <v>0</v>
      </c>
      <c r="AB62" s="838">
        <f>L62*IF('GW-1 Exp'!U$26&lt;=$E62,2*(VLOOKUP(A62,[1]!TOX,67,FALSE))*1*0.000001*SQRT(6*$C62*'GW-1 Exp'!$U$26/PI()),(VLOOKUP(A62,[1]!TOX,67,FALSE))*1*0.000001*('GW-1 Exp'!$U$26/(1+$B62)+2*$C62*(1+3*$B62+3*$B62^2)/(1+$B62)^2))</f>
        <v>1.5327110239040775E-8</v>
      </c>
      <c r="AC62" s="837">
        <f>L62*IF('GW-1 Exp'!U$27&lt;=$E62,2*(VLOOKUP(A62,[1]!TOX,67,FALSE))*1*0.000001*SQRT(6*$C62*'GW-1 Exp'!$U$27/PI()),(VLOOKUP(A62,[1]!TOX,67,FALSE))*1*0.000001*('GW-1 Exp'!$U$27/(1+$B62)+2*$C62*(1+3*$B62+3*$B62^2)/(1+$B62)^2))</f>
        <v>1.6631287316777531E-8</v>
      </c>
      <c r="AD62" s="837">
        <f>L62*IF('GW-1 Exp'!U$28&lt;=$E62,2*(VLOOKUP(A62,[1]!TOX,67,FALSE))*1*0.000001*SQRT(6*$C62*'GW-1 Exp'!$U$28/PI()),(VLOOKUP(A62,[1]!TOX,67,FALSE))*1*0.000001*('GW-1 Exp'!$U$28/(1+$B62)+2*$C62*(1+3*$B62+3*$B62^2)/(1+$B62)^2))</f>
        <v>1.7518904522136889E-8</v>
      </c>
      <c r="AE62" s="839">
        <f>L62*IF('GW-1 Exp'!U$29&lt;=$E62,2*(VLOOKUP(A62,[1]!TOX,67,FALSE))*1*0.000001*SQRT(6*$C62*'GW-1 Exp'!$U$29/PI()),(VLOOKUP(A62,[1]!TOX,67,FALSE))*1*0.000001*('GW-1 Exp'!$U$29/(1+$B62)+2*$C62*(1+3*$B62+3*$B62^2)/(1+$B62)^2))</f>
        <v>2.0349143475106122E-8</v>
      </c>
    </row>
    <row r="63" spans="1:31" x14ac:dyDescent="0.25">
      <c r="A63" s="540" t="s">
        <v>214</v>
      </c>
      <c r="B63" s="587">
        <f>(VLOOKUP(A63,[1]!TOX,67,FALSE))*(SQRT((VLOOKUP(A63,[1]!TOX,57,FALSE)))/2.6)</f>
        <v>9.7551862050002137E-3</v>
      </c>
      <c r="C63" s="596">
        <f>('GW-1 Exp'!$O$29^2)/(6*D63)</f>
        <v>1.1278432627903194</v>
      </c>
      <c r="D63" s="486">
        <f>10^(-2.8-(0.0056*(VLOOKUP(A63,[1]!TOX,57,FALSE))))*'GW-1 Exp'!$O$29</f>
        <v>1.4777467061719917E-7</v>
      </c>
      <c r="E63" s="597">
        <f t="shared" si="0"/>
        <v>2.7068238306967665</v>
      </c>
      <c r="F63" s="597">
        <f>IF(B63&lt;=0.6,0,(G63-SQRT(G63^2-H63^2))*('GW-1 Exp'!$O$29^2/D63))</f>
        <v>0</v>
      </c>
      <c r="G63" s="582">
        <f t="shared" si="1"/>
        <v>0.30923283871049473</v>
      </c>
      <c r="H63" s="598">
        <f t="shared" si="2"/>
        <v>0.3398682055657743</v>
      </c>
      <c r="I63" s="606">
        <f>IF('GW-1 Exp'!$U$13&lt;=$E63,2*(VLOOKUP(A63,[1]!TOX,67,FALSE))*1*0.000001*SQRT(6*$C63*'GW-1 Exp'!$U$13/PI()),(VLOOKUP(A63,[1]!TOX,67,FALSE))*1*0.000001*('GW-1 Exp'!$U$13/(1+$B63)+2*$C63*(1+3*$B63+3*$B63^2)/(1+$B63)^2))</f>
        <v>4.2260057892940696E-9</v>
      </c>
      <c r="J63" s="607">
        <f>IF('GW-1 Exp'!$U$21&lt;=$E63,2*(VLOOKUP(A63,[1]!TOX,67,FALSE))*1*0.000001*SQRT(6*$C63*'GW-1 Exp'!$U$21/PI()),(VLOOKUP(A63,[1]!TOX,67,FALSE))*1*0.000001*('GW-1 Exp'!$U$21/(1+$B63)+2*$C63*(1+3*$B63+3*$B63^2)/(1+$B63)^2))</f>
        <v>4.802235075984157E-9</v>
      </c>
      <c r="K63" s="482"/>
      <c r="L63" s="554">
        <v>1</v>
      </c>
      <c r="M63" s="481">
        <f t="shared" si="3"/>
        <v>4.2260057892940696E-9</v>
      </c>
      <c r="N63" s="483">
        <f t="shared" si="4"/>
        <v>4.802235075984157E-9</v>
      </c>
      <c r="O63" s="486" t="str">
        <f>IF(VLOOKUP(A63,[1]!TOX,81,FALSE)="Y","Inorganic",IF(K63="*","Streamlined",IF($E63=0,"Reduced Steady State",IF('GW-1 Exp'!$U$13&lt;=$E63,"Non-Steady State","Steady State"))))</f>
        <v>Non-Steady State</v>
      </c>
      <c r="P63" s="485" t="str">
        <f>IF(VLOOKUP(A63,[1]!TOX,81,FALSE)="Y","Inorganic",IF(K63="*","Streamlined",IF($E63=0,0,IF('GW-1 Exp'!$U$21&lt;=$E63,"Non-Steady State","Steady State"))))</f>
        <v>Non-Steady State</v>
      </c>
      <c r="Q63" s="563">
        <f>IF(K63=0,0,IF((VLOOKUP(A63,[1]!TOX,67,FALSE))=0,0,IF((VLOOKUP(A63,[1]!TOX,67,FALSE))&lt;0.5,0.2,1)))</f>
        <v>0</v>
      </c>
      <c r="R63" s="614">
        <f>IF(K63=0,IF(M63=0,0,('[1]Target Risk'!$D$8*(VLOOKUP(A63,[1]!TOX,4,FALSE))*(VLOOKUP(A63,[1]!TOX,37,FALSE)))/('GW-1 Exp'!$V$13*'GW-1 Derm'!$M63)),('[1]Target Risk'!$D$8*(VLOOKUP(A63,[1]!TOX,4,FALSE))*(VLOOKUP(A63,[1]!TOX,37,FALSE)))/('GW-1 Exp'!$J$18*'GW-1 Derm'!$Q63))</f>
        <v>233.05488942348228</v>
      </c>
      <c r="S63" s="574">
        <f>IF(OR(VLOOKUP(A63,[1]!TOX,12,FALSE)=0,VLOOKUP(A63,[1]!TOX,38,FALSE)=0),0,IF(K63=0,('[1]Target Risk'!$D$12*(VLOOKUP(A63,[1]!TOX,38,FALSE)))/('GW-1 Exp'!$V$21*'GW-1 Derm'!N63*(VLOOKUP(A63,[1]!TOX,12,FALSE))),IF(Q63=0,0,('[1]Target Risk'!$D$12*(VLOOKUP(A63,[1]!TOX,38,FALSE)))/('GW-1 Exp'!$J$26*'GW-1 Derm'!Q63*(VLOOKUP(A63,[1]!TOX,12,FALSE))))))</f>
        <v>0</v>
      </c>
      <c r="T63" s="575">
        <f>IF(OR(VLOOKUP(A63,[1]!TOX,12,FALSE)=0,VLOOKUP(A63,[1]!TOX,38,FALSE)=0),0,IF(NOT(VLOOKUP(A63,[1]!TOX,36,FALSE)="M"), IF(K63=0,('[1]Target Risk'!$D$12*(VLOOKUP(A63,[1]!TOX,38,FALSE)))/('GW-1 Exp'!$V$21*'GW-1 Derm'!N63*(VLOOKUP(A63,[1]!TOX,12,FALSE))),IF(Q63=0,0,('[1]Target Risk'!$D$12*(VLOOKUP(A63,[1]!TOX,38,FALSE)))/('GW-1 Exp'!$J$26*'GW-1 Derm'!Q63*(VLOOKUP(A63,[1]!TOX,12,FALSE))))), IF(K63=0,('[1]Target Risk'!$D$12*(VLOOKUP(A63,[1]!TOX,38,FALSE)))/(('GW-1 Exp'!$V$26*'GW-1 Derm'!AB63*(VLOOKUP(A63,[1]!TOX,12,FALSE))*10)+('GW-1 Exp'!$V$27*'GW-1 Derm'!AC63*(VLOOKUP(A63,[1]!TOX,12,FALSE))*3)+('GW-1 Exp'!$V$28*'GW-1 Derm'!AD63*(VLOOKUP(A63,[1]!TOX,12,FALSE))*3)+('GW-1 Exp'!$V$29*'GW-1 Derm'!AE63*(VLOOKUP(A63,[1]!TOX,12,FALSE))*1)),IF(Q63=0,0,(('[1]Target Risk'!$D$12*(VLOOKUP(A63,[1]!TOX,38,FALSE)))/(('GW-1 Exp'!$J$33*'GW-1 Derm'!Q63*(VLOOKUP(A63,[1]!TOX,12,FALSE))*10)+('GW-1 Exp'!$J$34*'GW-1 Derm'!Q63*(VLOOKUP(A63,[1]!TOX,12,FALSE))*3)+('GW-1 Exp'!$J$35*'GW-1 Derm'!Q63*(VLOOKUP(A63,[1]!TOX,12,FALSE))*3)+('GW-1 Exp'!$J$36*'GW-1 Derm'!Q63*(VLOOKUP(A63,[1]!TOX,12,FALSE))*1)))))))</f>
        <v>0</v>
      </c>
      <c r="AB63" s="838">
        <f>L63*IF('GW-1 Exp'!U$26&lt;=$E63,2*(VLOOKUP(A63,[1]!TOX,67,FALSE))*1*0.000001*SQRT(6*$C63*'GW-1 Exp'!$U$26/PI()),(VLOOKUP(A63,[1]!TOX,67,FALSE))*1*0.000001*('GW-1 Exp'!$U$26/(1+$B63)+2*$C63*(1+3*$B63+3*$B63^2)/(1+$B63)^2))</f>
        <v>3.9451205742813561E-9</v>
      </c>
      <c r="AC63" s="837">
        <f>L63*IF('GW-1 Exp'!U$27&lt;=$E63,2*(VLOOKUP(A63,[1]!TOX,67,FALSE))*1*0.000001*SQRT(6*$C63*'GW-1 Exp'!$U$27/PI()),(VLOOKUP(A63,[1]!TOX,67,FALSE))*1*0.000001*('GW-1 Exp'!$U$27/(1+$B63)+2*$C63*(1+3*$B63+3*$B63^2)/(1+$B63)^2))</f>
        <v>4.2808091510347152E-9</v>
      </c>
      <c r="AD63" s="837">
        <f>L63*IF('GW-1 Exp'!U$28&lt;=$E63,2*(VLOOKUP(A63,[1]!TOX,67,FALSE))*1*0.000001*SQRT(6*$C63*'GW-1 Exp'!$U$28/PI()),(VLOOKUP(A63,[1]!TOX,67,FALSE))*1*0.000001*('GW-1 Exp'!$U$28/(1+$B63)+2*$C63*(1+3*$B63+3*$B63^2)/(1+$B63)^2))</f>
        <v>4.5092773256831705E-9</v>
      </c>
      <c r="AE63" s="839">
        <f>L63*IF('GW-1 Exp'!U$29&lt;=$E63,2*(VLOOKUP(A63,[1]!TOX,67,FALSE))*1*0.000001*SQRT(6*$C63*'GW-1 Exp'!$U$29/PI()),(VLOOKUP(A63,[1]!TOX,67,FALSE))*1*0.000001*('GW-1 Exp'!$U$29/(1+$B63)+2*$C63*(1+3*$B63+3*$B63^2)/(1+$B63)^2))</f>
        <v>5.2377665026612728E-9</v>
      </c>
    </row>
    <row r="64" spans="1:31" x14ac:dyDescent="0.25">
      <c r="A64" s="540" t="s">
        <v>215</v>
      </c>
      <c r="B64" s="587">
        <f>(VLOOKUP(A64,[1]!TOX,67,FALSE))*(SQRT((VLOOKUP(A64,[1]!TOX,57,FALSE)))/2.6)</f>
        <v>1.594638870083848E-2</v>
      </c>
      <c r="C64" s="596">
        <f>('GW-1 Exp'!$O$29^2)/(6*D64)</f>
        <v>1.0991292099158083</v>
      </c>
      <c r="D64" s="486">
        <f>10^(-2.8-(0.0056*(VLOOKUP(A64,[1]!TOX,57,FALSE))))*'GW-1 Exp'!$O$29</f>
        <v>1.5163519007872885E-7</v>
      </c>
      <c r="E64" s="597">
        <f t="shared" si="0"/>
        <v>2.6379101037979398</v>
      </c>
      <c r="F64" s="597">
        <f>IF(B64&lt;=0.6,0,(G64-SQRT(G64^2-H64^2))*('GW-1 Exp'!$O$29^2/D64))</f>
        <v>0</v>
      </c>
      <c r="G64" s="582">
        <f t="shared" si="1"/>
        <v>0.31303753825592134</v>
      </c>
      <c r="H64" s="598">
        <f t="shared" si="2"/>
        <v>0.34404769113234762</v>
      </c>
      <c r="I64" s="606">
        <f>IF('GW-1 Exp'!$U$13&lt;=$E64,2*(VLOOKUP(A64,[1]!TOX,67,FALSE))*1*0.000001*SQRT(6*$C64*'GW-1 Exp'!$U$13/PI()),(VLOOKUP(A64,[1]!TOX,67,FALSE))*1*0.000001*('GW-1 Exp'!$U$13/(1+$B64)+2*$C64*(1+3*$B64+3*$B64^2)/(1+$B64)^2))</f>
        <v>6.8569358692537488E-9</v>
      </c>
      <c r="J64" s="607">
        <f>IF('GW-1 Exp'!$U$21&lt;=$E64,2*(VLOOKUP(A64,[1]!TOX,67,FALSE))*1*0.000001*SQRT(6*$C64*'GW-1 Exp'!$U$21/PI()),(VLOOKUP(A64,[1]!TOX,67,FALSE))*1*0.000001*('GW-1 Exp'!$U$21/(1+$B64)+2*$C64*(1+3*$B64+3*$B64^2)/(1+$B64)^2))</f>
        <v>7.7919008129434685E-9</v>
      </c>
      <c r="K64" s="482"/>
      <c r="L64" s="554">
        <v>1</v>
      </c>
      <c r="M64" s="481">
        <f t="shared" si="3"/>
        <v>6.8569358692537488E-9</v>
      </c>
      <c r="N64" s="483">
        <f t="shared" si="4"/>
        <v>7.7919008129434685E-9</v>
      </c>
      <c r="O64" s="486" t="str">
        <f>IF(VLOOKUP(A64,[1]!TOX,81,FALSE)="Y","Inorganic",IF(K64="*","Streamlined",IF($E64=0,"Reduced Steady State",IF('GW-1 Exp'!$U$13&lt;=$E64,"Non-Steady State","Steady State"))))</f>
        <v>Non-Steady State</v>
      </c>
      <c r="P64" s="485" t="str">
        <f>IF(VLOOKUP(A64,[1]!TOX,81,FALSE)="Y","Inorganic",IF(K64="*","Streamlined",IF($E64=0,0,IF('GW-1 Exp'!$U$21&lt;=$E64,"Non-Steady State","Steady State"))))</f>
        <v>Non-Steady State</v>
      </c>
      <c r="Q64" s="563">
        <f>IF(K64=0,0,IF((VLOOKUP(A64,[1]!TOX,67,FALSE))=0,0,IF((VLOOKUP(A64,[1]!TOX,67,FALSE))&lt;0.5,0.2,1)))</f>
        <v>0</v>
      </c>
      <c r="R64" s="614">
        <f>IF(K64=0,IF(M64=0,0,('[1]Target Risk'!$D$8*(VLOOKUP(A64,[1]!TOX,4,FALSE))*(VLOOKUP(A64,[1]!TOX,37,FALSE)))/('GW-1 Exp'!$V$13*'GW-1 Derm'!$M64)),('[1]Target Risk'!$D$8*(VLOOKUP(A64,[1]!TOX,4,FALSE))*(VLOOKUP(A64,[1]!TOX,37,FALSE)))/('GW-1 Exp'!$J$18*'GW-1 Derm'!$Q64))</f>
        <v>1292.7088682699048</v>
      </c>
      <c r="S64" s="574">
        <f>IF(OR(VLOOKUP(A64,[1]!TOX,12,FALSE)=0,VLOOKUP(A64,[1]!TOX,38,FALSE)=0),0,IF(K64=0,('[1]Target Risk'!$D$12*(VLOOKUP(A64,[1]!TOX,38,FALSE)))/('GW-1 Exp'!$V$21*'GW-1 Derm'!N64*(VLOOKUP(A64,[1]!TOX,12,FALSE))),IF(Q64=0,0,('[1]Target Risk'!$D$12*(VLOOKUP(A64,[1]!TOX,38,FALSE)))/('GW-1 Exp'!$J$26*'GW-1 Derm'!Q64*(VLOOKUP(A64,[1]!TOX,12,FALSE))))))</f>
        <v>1.2701348887028967</v>
      </c>
      <c r="T64" s="575">
        <f>IF(OR(VLOOKUP(A64,[1]!TOX,12,FALSE)=0,VLOOKUP(A64,[1]!TOX,38,FALSE)=0),0,IF(NOT(VLOOKUP(A64,[1]!TOX,36,FALSE)="M"), IF(K64=0,('[1]Target Risk'!$D$12*(VLOOKUP(A64,[1]!TOX,38,FALSE)))/('GW-1 Exp'!$V$21*'GW-1 Derm'!N64*(VLOOKUP(A64,[1]!TOX,12,FALSE))),IF(Q64=0,0,('[1]Target Risk'!$D$12*(VLOOKUP(A64,[1]!TOX,38,FALSE)))/('GW-1 Exp'!$J$26*'GW-1 Derm'!Q64*(VLOOKUP(A64,[1]!TOX,12,FALSE))))), IF(K64=0,('[1]Target Risk'!$D$12*(VLOOKUP(A64,[1]!TOX,38,FALSE)))/(('GW-1 Exp'!$V$26*'GW-1 Derm'!AB64*(VLOOKUP(A64,[1]!TOX,12,FALSE))*10)+('GW-1 Exp'!$V$27*'GW-1 Derm'!AC64*(VLOOKUP(A64,[1]!TOX,12,FALSE))*3)+('GW-1 Exp'!$V$28*'GW-1 Derm'!AD64*(VLOOKUP(A64,[1]!TOX,12,FALSE))*3)+('GW-1 Exp'!$V$29*'GW-1 Derm'!AE64*(VLOOKUP(A64,[1]!TOX,12,FALSE))*1)),IF(Q64=0,0,(('[1]Target Risk'!$D$12*(VLOOKUP(A64,[1]!TOX,38,FALSE)))/(('GW-1 Exp'!$J$33*'GW-1 Derm'!Q64*(VLOOKUP(A64,[1]!TOX,12,FALSE))*10)+('GW-1 Exp'!$J$34*'GW-1 Derm'!Q64*(VLOOKUP(A64,[1]!TOX,12,FALSE))*3)+('GW-1 Exp'!$J$35*'GW-1 Derm'!Q64*(VLOOKUP(A64,[1]!TOX,12,FALSE))*3)+('GW-1 Exp'!$J$36*'GW-1 Derm'!Q64*(VLOOKUP(A64,[1]!TOX,12,FALSE))*1)))))))</f>
        <v>1.2701348887028967</v>
      </c>
      <c r="AB64" s="838">
        <f>L64*IF('GW-1 Exp'!U$26&lt;=$E64,2*(VLOOKUP(A64,[1]!TOX,67,FALSE))*1*0.000001*SQRT(6*$C64*'GW-1 Exp'!$U$26/PI()),(VLOOKUP(A64,[1]!TOX,67,FALSE))*1*0.000001*('GW-1 Exp'!$U$26/(1+$B64)+2*$C64*(1+3*$B64+3*$B64^2)/(1+$B64)^2))</f>
        <v>6.4011835579713141E-9</v>
      </c>
      <c r="AC64" s="837">
        <f>L64*IF('GW-1 Exp'!U$27&lt;=$E64,2*(VLOOKUP(A64,[1]!TOX,67,FALSE))*1*0.000001*SQRT(6*$C64*'GW-1 Exp'!$U$27/PI()),(VLOOKUP(A64,[1]!TOX,67,FALSE))*1*0.000001*('GW-1 Exp'!$U$27/(1+$B64)+2*$C64*(1+3*$B64+3*$B64^2)/(1+$B64)^2))</f>
        <v>6.9458574551699589E-9</v>
      </c>
      <c r="AD64" s="837">
        <f>L64*IF('GW-1 Exp'!U$28&lt;=$E64,2*(VLOOKUP(A64,[1]!TOX,67,FALSE))*1*0.000001*SQRT(6*$C64*'GW-1 Exp'!$U$28/PI()),(VLOOKUP(A64,[1]!TOX,67,FALSE))*1*0.000001*('GW-1 Exp'!$U$28/(1+$B64)+2*$C64*(1+3*$B64+3*$B64^2)/(1+$B64)^2))</f>
        <v>7.3165601233249926E-9</v>
      </c>
      <c r="AE64" s="839">
        <f>L64*IF('GW-1 Exp'!U$29&lt;=$E64,2*(VLOOKUP(A64,[1]!TOX,67,FALSE))*1*0.000001*SQRT(6*$C64*'GW-1 Exp'!$U$29/PI()),(VLOOKUP(A64,[1]!TOX,67,FALSE))*1*0.000001*('GW-1 Exp'!$U$29/(1+$B64)+2*$C64*(1+3*$B64+3*$B64^2)/(1+$B64)^2))</f>
        <v>8.4985754392147312E-9</v>
      </c>
    </row>
    <row r="65" spans="1:31" x14ac:dyDescent="0.25">
      <c r="A65" s="540" t="s">
        <v>343</v>
      </c>
      <c r="B65" s="587">
        <f>(VLOOKUP(A65,[1]!TOX,67,FALSE))*(SQRT((VLOOKUP(A65,[1]!TOX,57,FALSE)))/2.6)</f>
        <v>1.2197420273712793E-3</v>
      </c>
      <c r="C65" s="596">
        <f>('GW-1 Exp'!$O$29^2)/(6*D65)</f>
        <v>0.32707605402894846</v>
      </c>
      <c r="D65" s="486">
        <f>10^(-2.8-(0.0056*(VLOOKUP(A65,[1]!TOX,57,FALSE))))*'GW-1 Exp'!$O$29</f>
        <v>5.0956548060811427E-7</v>
      </c>
      <c r="E65" s="597">
        <f t="shared" si="0"/>
        <v>0.78498252966947624</v>
      </c>
      <c r="F65" s="597">
        <f>IF(B65&lt;=0.6,0,(G65-SQRT(G65^2-H65^2))*('GW-1 Exp'!$O$29^2/D65))</f>
        <v>0</v>
      </c>
      <c r="G65" s="582">
        <f t="shared" si="1"/>
        <v>0.30402675329110496</v>
      </c>
      <c r="H65" s="598">
        <f t="shared" si="2"/>
        <v>0.33414699000429005</v>
      </c>
      <c r="I65" s="606">
        <f>IF('GW-1 Exp'!$U$13&lt;=$E65,2*(VLOOKUP(A65,[1]!TOX,67,FALSE))*1*0.000001*SQRT(6*$C65*'GW-1 Exp'!$U$13/PI()),(VLOOKUP(A65,[1]!TOX,67,FALSE))*1*0.000001*('GW-1 Exp'!$U$13/(1+$B65)+2*$C65*(1+3*$B65+3*$B65^2)/(1+$B65)^2))</f>
        <v>4.1146233626790389E-10</v>
      </c>
      <c r="J65" s="607">
        <f>IF('GW-1 Exp'!$U$21&lt;=$E65,2*(VLOOKUP(A65,[1]!TOX,67,FALSE))*1*0.000001*SQRT(6*$C65*'GW-1 Exp'!$U$21/PI()),(VLOOKUP(A65,[1]!TOX,67,FALSE))*1*0.000001*('GW-1 Exp'!$U$21/(1+$B65)+2*$C65*(1+3*$B65+3*$B65^2)/(1+$B65)^2))</f>
        <v>4.6756653023946426E-10</v>
      </c>
      <c r="K65" s="482"/>
      <c r="L65" s="554">
        <v>1</v>
      </c>
      <c r="M65" s="481">
        <f t="shared" si="3"/>
        <v>4.1146233626790389E-10</v>
      </c>
      <c r="N65" s="483">
        <f t="shared" si="4"/>
        <v>4.6756653023946426E-10</v>
      </c>
      <c r="O65" s="486" t="str">
        <f>IF(VLOOKUP(A65,[1]!TOX,81,FALSE)="Y","Inorganic",IF(K65="*","Streamlined",IF($E65=0,"Reduced Steady State",IF('GW-1 Exp'!$U$13&lt;=$E65,"Non-Steady State","Steady State"))))</f>
        <v>Non-Steady State</v>
      </c>
      <c r="P65" s="485" t="str">
        <f>IF(VLOOKUP(A65,[1]!TOX,81,FALSE)="Y","Inorganic",IF(K65="*","Streamlined",IF($E65=0,0,IF('GW-1 Exp'!$U$21&lt;=$E65,"Non-Steady State","Steady State"))))</f>
        <v>Non-Steady State</v>
      </c>
      <c r="Q65" s="563">
        <f>IF(K65=0,0,IF((VLOOKUP(A65,[1]!TOX,67,FALSE))=0,0,IF((VLOOKUP(A65,[1]!TOX,67,FALSE))&lt;0.5,0.2,1)))</f>
        <v>0</v>
      </c>
      <c r="R65" s="614">
        <f>IF(K65=0,IF(M65=0,0,('[1]Target Risk'!$D$8*(VLOOKUP(A65,[1]!TOX,4,FALSE))*(VLOOKUP(A65,[1]!TOX,37,FALSE)))/('GW-1 Exp'!$V$13*'GW-1 Derm'!$M65)),('[1]Target Risk'!$D$8*(VLOOKUP(A65,[1]!TOX,4,FALSE))*(VLOOKUP(A65,[1]!TOX,37,FALSE)))/('GW-1 Exp'!$J$18*'GW-1 Derm'!$Q65))</f>
        <v>35904.549157288871</v>
      </c>
      <c r="S65" s="574">
        <f>IF(OR(VLOOKUP(A65,[1]!TOX,12,FALSE)=0,VLOOKUP(A65,[1]!TOX,38,FALSE)=0),0,IF(K65=0,('[1]Target Risk'!$D$12*(VLOOKUP(A65,[1]!TOX,38,FALSE)))/('GW-1 Exp'!$V$21*'GW-1 Derm'!N65*(VLOOKUP(A65,[1]!TOX,12,FALSE))),IF(Q65=0,0,('[1]Target Risk'!$D$12*(VLOOKUP(A65,[1]!TOX,38,FALSE)))/('GW-1 Exp'!$J$26*'GW-1 Derm'!Q65*(VLOOKUP(A65,[1]!TOX,12,FALSE))))))</f>
        <v>159.92495930410553</v>
      </c>
      <c r="T65" s="575">
        <f>IF(OR(VLOOKUP(A65,[1]!TOX,12,FALSE)=0,VLOOKUP(A65,[1]!TOX,38,FALSE)=0),0,IF(NOT(VLOOKUP(A65,[1]!TOX,36,FALSE)="M"), IF(K65=0,('[1]Target Risk'!$D$12*(VLOOKUP(A65,[1]!TOX,38,FALSE)))/('GW-1 Exp'!$V$21*'GW-1 Derm'!N65*(VLOOKUP(A65,[1]!TOX,12,FALSE))),IF(Q65=0,0,('[1]Target Risk'!$D$12*(VLOOKUP(A65,[1]!TOX,38,FALSE)))/('GW-1 Exp'!$J$26*'GW-1 Derm'!Q65*(VLOOKUP(A65,[1]!TOX,12,FALSE))))), IF(K65=0,('[1]Target Risk'!$D$12*(VLOOKUP(A65,[1]!TOX,38,FALSE)))/(('GW-1 Exp'!$V$26*'GW-1 Derm'!AB65*(VLOOKUP(A65,[1]!TOX,12,FALSE))*10)+('GW-1 Exp'!$V$27*'GW-1 Derm'!AC65*(VLOOKUP(A65,[1]!TOX,12,FALSE))*3)+('GW-1 Exp'!$V$28*'GW-1 Derm'!AD65*(VLOOKUP(A65,[1]!TOX,12,FALSE))*3)+('GW-1 Exp'!$V$29*'GW-1 Derm'!AE65*(VLOOKUP(A65,[1]!TOX,12,FALSE))*1)),IF(Q65=0,0,(('[1]Target Risk'!$D$12*(VLOOKUP(A65,[1]!TOX,38,FALSE)))/(('GW-1 Exp'!$J$33*'GW-1 Derm'!Q65*(VLOOKUP(A65,[1]!TOX,12,FALSE))*10)+('GW-1 Exp'!$J$34*'GW-1 Derm'!Q65*(VLOOKUP(A65,[1]!TOX,12,FALSE))*3)+('GW-1 Exp'!$J$35*'GW-1 Derm'!Q65*(VLOOKUP(A65,[1]!TOX,12,FALSE))*3)+('GW-1 Exp'!$J$36*'GW-1 Derm'!Q65*(VLOOKUP(A65,[1]!TOX,12,FALSE))*1)))))))</f>
        <v>159.92495930410553</v>
      </c>
      <c r="AB65" s="838">
        <f>L65*IF('GW-1 Exp'!U$26&lt;=$E65,2*(VLOOKUP(A65,[1]!TOX,67,FALSE))*1*0.000001*SQRT(6*$C65*'GW-1 Exp'!$U$26/PI()),(VLOOKUP(A65,[1]!TOX,67,FALSE))*1*0.000001*('GW-1 Exp'!$U$26/(1+$B65)+2*$C65*(1+3*$B65+3*$B65^2)/(1+$B65)^2))</f>
        <v>3.8411412792303336E-10</v>
      </c>
      <c r="AC65" s="837">
        <f>L65*IF('GW-1 Exp'!U$27&lt;=$E65,2*(VLOOKUP(A65,[1]!TOX,67,FALSE))*1*0.000001*SQRT(6*$C65*'GW-1 Exp'!$U$27/PI()),(VLOOKUP(A65,[1]!TOX,67,FALSE))*1*0.000001*('GW-1 Exp'!$U$27/(1+$B65)+2*$C65*(1+3*$B65+3*$B65^2)/(1+$B65)^2))</f>
        <v>4.1679823034411807E-10</v>
      </c>
      <c r="AD65" s="837">
        <f>L65*IF('GW-1 Exp'!U$28&lt;=$E65,2*(VLOOKUP(A65,[1]!TOX,67,FALSE))*1*0.000001*SQRT(6*$C65*'GW-1 Exp'!$U$28/PI()),(VLOOKUP(A65,[1]!TOX,67,FALSE))*1*0.000001*('GW-1 Exp'!$U$28/(1+$B65)+2*$C65*(1+3*$B65+3*$B65^2)/(1+$B65)^2))</f>
        <v>4.390428872591339E-10</v>
      </c>
      <c r="AE65" s="839">
        <f>L65*IF('GW-1 Exp'!U$29&lt;=$E65,2*(VLOOKUP(A65,[1]!TOX,67,FALSE))*1*0.000001*SQRT(6*$C65*'GW-1 Exp'!$U$29/PI()),(VLOOKUP(A65,[1]!TOX,67,FALSE))*1*0.000001*('GW-1 Exp'!$U$29/(1+$B65)+2*$C65*(1+3*$B65+3*$B65^2)/(1+$B65)^2))</f>
        <v>5.2892096429347363E-10</v>
      </c>
    </row>
    <row r="66" spans="1:31" x14ac:dyDescent="0.25">
      <c r="A66" s="540" t="s">
        <v>216</v>
      </c>
      <c r="B66" s="587">
        <f>(VLOOKUP(A66,[1]!TOX,67,FALSE))*(SQRT((VLOOKUP(A66,[1]!TOX,57,FALSE)))/2.6)</f>
        <v>2.1798361804983093E-2</v>
      </c>
      <c r="C66" s="596">
        <f>('GW-1 Exp'!$O$29^2)/(6*D66)</f>
        <v>20.000863670071102</v>
      </c>
      <c r="D66" s="486">
        <f>10^(-2.8-(0.0056*(VLOOKUP(A66,[1]!TOX,57,FALSE))))*'GW-1 Exp'!$O$29</f>
        <v>8.3329734863431611E-9</v>
      </c>
      <c r="E66" s="597">
        <f t="shared" si="0"/>
        <v>48.002072808170645</v>
      </c>
      <c r="F66" s="597">
        <f>IF(B66&lt;=0.6,0,(G66-SQRT(G66^2-H66^2))*('GW-1 Exp'!$O$29^2/D66))</f>
        <v>0</v>
      </c>
      <c r="G66" s="582">
        <f t="shared" si="1"/>
        <v>0.31665622525329679</v>
      </c>
      <c r="H66" s="598">
        <f t="shared" si="2"/>
        <v>0.34802058508640205</v>
      </c>
      <c r="I66" s="606">
        <f>IF('GW-1 Exp'!$U$13&lt;=$E66,2*(VLOOKUP(A66,[1]!TOX,67,FALSE))*1*0.000001*SQRT(6*$C66*'GW-1 Exp'!$U$13/PI()),(VLOOKUP(A66,[1]!TOX,67,FALSE))*1*0.000001*('GW-1 Exp'!$U$13/(1+$B66)+2*$C66*(1+3*$B66+3*$B66^2)/(1+$B66)^2))</f>
        <v>2.6738071953704571E-8</v>
      </c>
      <c r="J66" s="607">
        <f>IF('GW-1 Exp'!$U$21&lt;=$E66,2*(VLOOKUP(A66,[1]!TOX,67,FALSE))*1*0.000001*SQRT(6*$C66*'GW-1 Exp'!$U$21/PI()),(VLOOKUP(A66,[1]!TOX,67,FALSE))*1*0.000001*('GW-1 Exp'!$U$21/(1+$B66)+2*$C66*(1+3*$B66+3*$B66^2)/(1+$B66)^2))</f>
        <v>3.0383892829857496E-8</v>
      </c>
      <c r="K66" s="482" t="s">
        <v>91</v>
      </c>
      <c r="L66" s="554">
        <v>1</v>
      </c>
      <c r="M66" s="481">
        <f t="shared" si="3"/>
        <v>2.6738071953704571E-8</v>
      </c>
      <c r="N66" s="483">
        <f t="shared" si="4"/>
        <v>3.0383892829857496E-8</v>
      </c>
      <c r="O66" s="486" t="str">
        <f>IF(VLOOKUP(A66,[1]!TOX,81,FALSE)="Y","Inorganic",IF(K66="*","Streamlined",IF($E66=0,"Reduced Steady State",IF('GW-1 Exp'!$U$13&lt;=$E66,"Non-Steady State","Steady State"))))</f>
        <v>Streamlined</v>
      </c>
      <c r="P66" s="485" t="str">
        <f>IF(VLOOKUP(A66,[1]!TOX,81,FALSE)="Y","Inorganic",IF(K66="*","Streamlined",IF($E66=0,0,IF('GW-1 Exp'!$U$21&lt;=$E66,"Non-Steady State","Steady State"))))</f>
        <v>Streamlined</v>
      </c>
      <c r="Q66" s="563">
        <f>IF(K66=0,0,IF((VLOOKUP(A66,[1]!TOX,67,FALSE))=0,0,IF((VLOOKUP(A66,[1]!TOX,67,FALSE))&lt;0.5,0.2,1)))</f>
        <v>0.2</v>
      </c>
      <c r="R66" s="614">
        <f>IF(K66=0,IF(M66=0,0,('[1]Target Risk'!$D$8*(VLOOKUP(A66,[1]!TOX,4,FALSE))*(VLOOKUP(A66,[1]!TOX,37,FALSE)))/('GW-1 Exp'!$V$13*'GW-1 Derm'!$M66)),('[1]Target Risk'!$D$8*(VLOOKUP(A66,[1]!TOX,4,FALSE))*(VLOOKUP(A66,[1]!TOX,37,FALSE)))/('GW-1 Exp'!$J$18*'GW-1 Derm'!$Q66))</f>
        <v>97.31662087912089</v>
      </c>
      <c r="S66" s="574">
        <f>IF(OR(VLOOKUP(A66,[1]!TOX,12,FALSE)=0,VLOOKUP(A66,[1]!TOX,38,FALSE)=0),0,IF(K66=0,('[1]Target Risk'!$D$12*(VLOOKUP(A66,[1]!TOX,38,FALSE)))/('GW-1 Exp'!$V$21*'GW-1 Derm'!N66*(VLOOKUP(A66,[1]!TOX,12,FALSE))),IF(Q66=0,0,('[1]Target Risk'!$D$12*(VLOOKUP(A66,[1]!TOX,38,FALSE)))/('GW-1 Exp'!$J$26*'GW-1 Derm'!Q66*(VLOOKUP(A66,[1]!TOX,12,FALSE))))))</f>
        <v>0</v>
      </c>
      <c r="T66" s="575">
        <f>IF(OR(VLOOKUP(A66,[1]!TOX,12,FALSE)=0,VLOOKUP(A66,[1]!TOX,38,FALSE)=0),0,IF(NOT(VLOOKUP(A66,[1]!TOX,36,FALSE)="M"), IF(K66=0,('[1]Target Risk'!$D$12*(VLOOKUP(A66,[1]!TOX,38,FALSE)))/('GW-1 Exp'!$V$21*'GW-1 Derm'!N66*(VLOOKUP(A66,[1]!TOX,12,FALSE))),IF(Q66=0,0,('[1]Target Risk'!$D$12*(VLOOKUP(A66,[1]!TOX,38,FALSE)))/('GW-1 Exp'!$J$26*'GW-1 Derm'!Q66*(VLOOKUP(A66,[1]!TOX,12,FALSE))))), IF(K66=0,('[1]Target Risk'!$D$12*(VLOOKUP(A66,[1]!TOX,38,FALSE)))/(('GW-1 Exp'!$V$26*'GW-1 Derm'!AB66*(VLOOKUP(A66,[1]!TOX,12,FALSE))*10)+('GW-1 Exp'!$V$27*'GW-1 Derm'!AC66*(VLOOKUP(A66,[1]!TOX,12,FALSE))*3)+('GW-1 Exp'!$V$28*'GW-1 Derm'!AD66*(VLOOKUP(A66,[1]!TOX,12,FALSE))*3)+('GW-1 Exp'!$V$29*'GW-1 Derm'!AE66*(VLOOKUP(A66,[1]!TOX,12,FALSE))*1)),IF(Q66=0,0,(('[1]Target Risk'!$D$12*(VLOOKUP(A66,[1]!TOX,38,FALSE)))/(('GW-1 Exp'!$J$33*'GW-1 Derm'!Q66*(VLOOKUP(A66,[1]!TOX,12,FALSE))*10)+('GW-1 Exp'!$J$34*'GW-1 Derm'!Q66*(VLOOKUP(A66,[1]!TOX,12,FALSE))*3)+('GW-1 Exp'!$J$35*'GW-1 Derm'!Q66*(VLOOKUP(A66,[1]!TOX,12,FALSE))*3)+('GW-1 Exp'!$J$36*'GW-1 Derm'!Q66*(VLOOKUP(A66,[1]!TOX,12,FALSE))*1)))))))</f>
        <v>0</v>
      </c>
      <c r="AB66" s="838">
        <f>L66*IF('GW-1 Exp'!U$26&lt;=$E66,2*(VLOOKUP(A66,[1]!TOX,67,FALSE))*1*0.000001*SQRT(6*$C66*'GW-1 Exp'!$U$26/PI()),(VLOOKUP(A66,[1]!TOX,67,FALSE))*1*0.000001*('GW-1 Exp'!$U$26/(1+$B66)+2*$C66*(1+3*$B66+3*$B66^2)/(1+$B66)^2))</f>
        <v>2.4960902336765582E-8</v>
      </c>
      <c r="AC66" s="837">
        <f>L66*IF('GW-1 Exp'!U$27&lt;=$E66,2*(VLOOKUP(A66,[1]!TOX,67,FALSE))*1*0.000001*SQRT(6*$C66*'GW-1 Exp'!$U$27/PI()),(VLOOKUP(A66,[1]!TOX,67,FALSE))*1*0.000001*('GW-1 Exp'!$U$27/(1+$B66)+2*$C66*(1+3*$B66+3*$B66^2)/(1+$B66)^2))</f>
        <v>2.708481455241053E-8</v>
      </c>
      <c r="AD66" s="837">
        <f>L66*IF('GW-1 Exp'!U$28&lt;=$E66,2*(VLOOKUP(A66,[1]!TOX,67,FALSE))*1*0.000001*SQRT(6*$C66*'GW-1 Exp'!$U$28/PI()),(VLOOKUP(A66,[1]!TOX,67,FALSE))*1*0.000001*('GW-1 Exp'!$U$28/(1+$B66)+2*$C66*(1+3*$B66+3*$B66^2)/(1+$B66)^2))</f>
        <v>2.8530339901277222E-8</v>
      </c>
      <c r="AE66" s="839">
        <f>L66*IF('GW-1 Exp'!U$29&lt;=$E66,2*(VLOOKUP(A66,[1]!TOX,67,FALSE))*1*0.000001*SQRT(6*$C66*'GW-1 Exp'!$U$29/PI()),(VLOOKUP(A66,[1]!TOX,67,FALSE))*1*0.000001*('GW-1 Exp'!$U$29/(1+$B66)+2*$C66*(1+3*$B66+3*$B66^2)/(1+$B66)^2))</f>
        <v>3.3139513906878682E-8</v>
      </c>
    </row>
    <row r="67" spans="1:31" x14ac:dyDescent="0.25">
      <c r="A67" s="540" t="s">
        <v>217</v>
      </c>
      <c r="B67" s="587">
        <f>(VLOOKUP(A67,[1]!TOX,67,FALSE))*(SQRT((VLOOKUP(A67,[1]!TOX,57,FALSE)))/2.6)</f>
        <v>0.23653158383305084</v>
      </c>
      <c r="C67" s="596">
        <f>('GW-1 Exp'!$O$29^2)/(6*D67)</f>
        <v>14.303711750900273</v>
      </c>
      <c r="D67" s="486">
        <f>10^(-2.8-(0.0056*(VLOOKUP(A67,[1]!TOX,57,FALSE))))*'GW-1 Exp'!$O$29</f>
        <v>1.1651987230249987E-8</v>
      </c>
      <c r="E67" s="597">
        <f t="shared" si="0"/>
        <v>34.328908202160655</v>
      </c>
      <c r="F67" s="597">
        <f>IF(B67&lt;=0.6,0,(G67-SQRT(G67^2-H67^2))*('GW-1 Exp'!$O$29^2/D67))</f>
        <v>0</v>
      </c>
      <c r="G67" s="582">
        <f t="shared" si="1"/>
        <v>0.4672954174893702</v>
      </c>
      <c r="H67" s="598">
        <f t="shared" si="2"/>
        <v>0.50610280845155442</v>
      </c>
      <c r="I67" s="606">
        <f>IF('GW-1 Exp'!$U$13&lt;=$E67,2*(VLOOKUP(A67,[1]!TOX,67,FALSE))*1*0.000001*SQRT(6*$C67*'GW-1 Exp'!$U$13/PI()),(VLOOKUP(A67,[1]!TOX,67,FALSE))*1*0.000001*('GW-1 Exp'!$U$13/(1+$B67)+2*$C67*(1+3*$B67+3*$B67^2)/(1+$B67)^2))</f>
        <v>2.5358881113961333E-7</v>
      </c>
      <c r="J67" s="607">
        <f>IF('GW-1 Exp'!$U$21&lt;=$E67,2*(VLOOKUP(A67,[1]!TOX,67,FALSE))*1*0.000001*SQRT(6*$C67*'GW-1 Exp'!$U$21/PI()),(VLOOKUP(A67,[1]!TOX,67,FALSE))*1*0.000001*('GW-1 Exp'!$U$21/(1+$B67)+2*$C67*(1+3*$B67+3*$B67^2)/(1+$B67)^2))</f>
        <v>2.881664494679262E-7</v>
      </c>
      <c r="K67" s="482" t="s">
        <v>91</v>
      </c>
      <c r="L67" s="554">
        <v>0.8</v>
      </c>
      <c r="M67" s="481">
        <f t="shared" si="3"/>
        <v>2.0287104891169068E-7</v>
      </c>
      <c r="N67" s="483">
        <f t="shared" si="4"/>
        <v>2.3053315957434097E-7</v>
      </c>
      <c r="O67" s="486" t="str">
        <f>IF(VLOOKUP(A67,[1]!TOX,81,FALSE)="Y","Inorganic",IF(K67="*","Streamlined",IF($E67=0,"Reduced Steady State",IF('GW-1 Exp'!$U$13&lt;=$E67,"Non-Steady State","Steady State"))))</f>
        <v>Streamlined</v>
      </c>
      <c r="P67" s="485" t="str">
        <f>IF(VLOOKUP(A67,[1]!TOX,81,FALSE)="Y","Inorganic",IF(K67="*","Streamlined",IF($E67=0,0,IF('GW-1 Exp'!$U$21&lt;=$E67,"Non-Steady State","Steady State"))))</f>
        <v>Streamlined</v>
      </c>
      <c r="Q67" s="563">
        <f>IF(K67=0,0,IF((VLOOKUP(A67,[1]!TOX,67,FALSE))=0,0,IF((VLOOKUP(A67,[1]!TOX,67,FALSE))&lt;0.5,0.2,1)))</f>
        <v>0.2</v>
      </c>
      <c r="R67" s="614">
        <f>IF(K67=0,IF(M67=0,0,('[1]Target Risk'!$D$8*(VLOOKUP(A67,[1]!TOX,4,FALSE))*(VLOOKUP(A67,[1]!TOX,37,FALSE)))/('GW-1 Exp'!$V$13*'GW-1 Derm'!$M67)),('[1]Target Risk'!$D$8*(VLOOKUP(A67,[1]!TOX,4,FALSE))*(VLOOKUP(A67,[1]!TOX,37,FALSE)))/('GW-1 Exp'!$J$18*'GW-1 Derm'!$Q67))</f>
        <v>3.8926648351648354</v>
      </c>
      <c r="S67" s="574">
        <f>IF(OR(VLOOKUP(A67,[1]!TOX,12,FALSE)=0,VLOOKUP(A67,[1]!TOX,38,FALSE)=0),0,IF(K67=0,('[1]Target Risk'!$D$12*(VLOOKUP(A67,[1]!TOX,38,FALSE)))/('GW-1 Exp'!$V$21*'GW-1 Derm'!N67*(VLOOKUP(A67,[1]!TOX,12,FALSE))),IF(Q67=0,0,('[1]Target Risk'!$D$12*(VLOOKUP(A67,[1]!TOX,38,FALSE)))/('GW-1 Exp'!$J$26*'GW-1 Derm'!Q67*(VLOOKUP(A67,[1]!TOX,12,FALSE))))))</f>
        <v>0</v>
      </c>
      <c r="T67" s="575">
        <f>IF(OR(VLOOKUP(A67,[1]!TOX,12,FALSE)=0,VLOOKUP(A67,[1]!TOX,38,FALSE)=0),0,IF(NOT(VLOOKUP(A67,[1]!TOX,36,FALSE)="M"), IF(K67=0,('[1]Target Risk'!$D$12*(VLOOKUP(A67,[1]!TOX,38,FALSE)))/('GW-1 Exp'!$V$21*'GW-1 Derm'!N67*(VLOOKUP(A67,[1]!TOX,12,FALSE))),IF(Q67=0,0,('[1]Target Risk'!$D$12*(VLOOKUP(A67,[1]!TOX,38,FALSE)))/('GW-1 Exp'!$J$26*'GW-1 Derm'!Q67*(VLOOKUP(A67,[1]!TOX,12,FALSE))))), IF(K67=0,('[1]Target Risk'!$D$12*(VLOOKUP(A67,[1]!TOX,38,FALSE)))/(('GW-1 Exp'!$V$26*'GW-1 Derm'!AB67*(VLOOKUP(A67,[1]!TOX,12,FALSE))*10)+('GW-1 Exp'!$V$27*'GW-1 Derm'!AC67*(VLOOKUP(A67,[1]!TOX,12,FALSE))*3)+('GW-1 Exp'!$V$28*'GW-1 Derm'!AD67*(VLOOKUP(A67,[1]!TOX,12,FALSE))*3)+('GW-1 Exp'!$V$29*'GW-1 Derm'!AE67*(VLOOKUP(A67,[1]!TOX,12,FALSE))*1)),IF(Q67=0,0,(('[1]Target Risk'!$D$12*(VLOOKUP(A67,[1]!TOX,38,FALSE)))/(('GW-1 Exp'!$J$33*'GW-1 Derm'!Q67*(VLOOKUP(A67,[1]!TOX,12,FALSE))*10)+('GW-1 Exp'!$J$34*'GW-1 Derm'!Q67*(VLOOKUP(A67,[1]!TOX,12,FALSE))*3)+('GW-1 Exp'!$J$35*'GW-1 Derm'!Q67*(VLOOKUP(A67,[1]!TOX,12,FALSE))*3)+('GW-1 Exp'!$J$36*'GW-1 Derm'!Q67*(VLOOKUP(A67,[1]!TOX,12,FALSE))*1)))))))</f>
        <v>0</v>
      </c>
      <c r="AB67" s="838">
        <f>L67*IF('GW-1 Exp'!U$26&lt;=$E67,2*(VLOOKUP(A67,[1]!TOX,67,FALSE))*1*0.000001*SQRT(6*$C67*'GW-1 Exp'!$U$26/PI()),(VLOOKUP(A67,[1]!TOX,67,FALSE))*1*0.000001*('GW-1 Exp'!$U$26/(1+$B67)+2*$C67*(1+3*$B67+3*$B67^2)/(1+$B67)^2))</f>
        <v>1.8938704509471211E-7</v>
      </c>
      <c r="AC67" s="837">
        <f>L67*IF('GW-1 Exp'!U$27&lt;=$E67,2*(VLOOKUP(A67,[1]!TOX,67,FALSE))*1*0.000001*SQRT(6*$C67*'GW-1 Exp'!$U$27/PI()),(VLOOKUP(A67,[1]!TOX,67,FALSE))*1*0.000001*('GW-1 Exp'!$U$27/(1+$B67)+2*$C67*(1+3*$B67+3*$B67^2)/(1+$B67)^2))</f>
        <v>2.0550190557269603E-7</v>
      </c>
      <c r="AD67" s="837">
        <f>L67*IF('GW-1 Exp'!U$28&lt;=$E67,2*(VLOOKUP(A67,[1]!TOX,67,FALSE))*1*0.000001*SQRT(6*$C67*'GW-1 Exp'!$U$28/PI()),(VLOOKUP(A67,[1]!TOX,67,FALSE))*1*0.000001*('GW-1 Exp'!$U$28/(1+$B67)+2*$C67*(1+3*$B67+3*$B67^2)/(1+$B67)^2))</f>
        <v>2.164696090129732E-7</v>
      </c>
      <c r="AE67" s="839">
        <f>L67*IF('GW-1 Exp'!U$29&lt;=$E67,2*(VLOOKUP(A67,[1]!TOX,67,FALSE))*1*0.000001*SQRT(6*$C67*'GW-1 Exp'!$U$29/PI()),(VLOOKUP(A67,[1]!TOX,67,FALSE))*1*0.000001*('GW-1 Exp'!$U$29/(1+$B67)+2*$C67*(1+3*$B67+3*$B67^2)/(1+$B67)^2))</f>
        <v>2.5144101483280502E-7</v>
      </c>
    </row>
    <row r="68" spans="1:31" x14ac:dyDescent="0.25">
      <c r="A68" s="540" t="s">
        <v>218</v>
      </c>
      <c r="B68" s="587">
        <f>(VLOOKUP(A68,[1]!TOX,67,FALSE))*(SQRT((VLOOKUP(A68,[1]!TOX,57,FALSE)))/2.6)</f>
        <v>0.19190203698078109</v>
      </c>
      <c r="C68" s="596">
        <f>('GW-1 Exp'!$O$29^2)/(6*D68)</f>
        <v>0.41252355301238558</v>
      </c>
      <c r="D68" s="486">
        <f>10^(-2.8-(0.0056*(VLOOKUP(A68,[1]!TOX,57,FALSE))))*'GW-1 Exp'!$O$29</f>
        <v>4.0401733537300028E-7</v>
      </c>
      <c r="E68" s="597">
        <f t="shared" ref="E68:E129" si="5">IF($B68=0,0,IF(B68&lt;=0.6,2.4*C68,F68))</f>
        <v>0.99005652722972537</v>
      </c>
      <c r="F68" s="597">
        <f>IF(B68&lt;=0.6,0,(G68-SQRT(G68^2-H68^2))*('GW-1 Exp'!$O$29^2/D68))</f>
        <v>0</v>
      </c>
      <c r="G68" s="582">
        <f t="shared" ref="G68:G129" si="6">(2*(1+B68)^2/PI())-H68</f>
        <v>0.43283436466420239</v>
      </c>
      <c r="H68" s="598">
        <f t="shared" ref="H68:H129" si="7">(1+ (3*B68) + 3*B68^2)/(3*(1+B68))</f>
        <v>0.47156707906570211</v>
      </c>
      <c r="I68" s="606">
        <f>IF('GW-1 Exp'!$U$13&lt;=$E68,2*(VLOOKUP(A68,[1]!TOX,67,FALSE))*1*0.000001*SQRT(6*$C68*'GW-1 Exp'!$U$13/PI()),(VLOOKUP(A68,[1]!TOX,67,FALSE))*1*0.000001*('GW-1 Exp'!$U$13/(1+$B68)+2*$C68*(1+3*$B68+3*$B68^2)/(1+$B68)^2))</f>
        <v>6.6241489236693621E-8</v>
      </c>
      <c r="J68" s="607">
        <f>IF('GW-1 Exp'!$U$21&lt;=$E68,2*(VLOOKUP(A68,[1]!TOX,67,FALSE))*1*0.000001*SQRT(6*$C68*'GW-1 Exp'!$U$21/PI()),(VLOOKUP(A68,[1]!TOX,67,FALSE))*1*0.000001*('GW-1 Exp'!$U$21/(1+$B68)+2*$C68*(1+3*$B68+3*$B68^2)/(1+$B68)^2))</f>
        <v>7.5273726293454791E-8</v>
      </c>
      <c r="K68" s="482"/>
      <c r="L68" s="554">
        <v>1</v>
      </c>
      <c r="M68" s="481">
        <f t="shared" ref="M68:M129" si="8">I68*L68</f>
        <v>6.6241489236693621E-8</v>
      </c>
      <c r="N68" s="483">
        <f t="shared" ref="N68:N129" si="9">J68*L68</f>
        <v>7.5273726293454791E-8</v>
      </c>
      <c r="O68" s="486" t="str">
        <f>IF(VLOOKUP(A68,[1]!TOX,81,FALSE)="Y","Inorganic",IF(K68="*","Streamlined",IF($E68=0,"Reduced Steady State",IF('GW-1 Exp'!$U$13&lt;=$E68,"Non-Steady State","Steady State"))))</f>
        <v>Non-Steady State</v>
      </c>
      <c r="P68" s="485" t="str">
        <f>IF(VLOOKUP(A68,[1]!TOX,81,FALSE)="Y","Inorganic",IF(K68="*","Streamlined",IF($E68=0,0,IF('GW-1 Exp'!$U$21&lt;=$E68,"Non-Steady State","Steady State"))))</f>
        <v>Non-Steady State</v>
      </c>
      <c r="Q68" s="563">
        <f>IF(K68=0,0,IF((VLOOKUP(A68,[1]!TOX,67,FALSE))=0,0,IF((VLOOKUP(A68,[1]!TOX,67,FALSE))&lt;0.5,0.2,1)))</f>
        <v>0</v>
      </c>
      <c r="R68" s="614">
        <f>IF(K68=0,IF(M68=0,0,('[1]Target Risk'!$D$8*(VLOOKUP(A68,[1]!TOX,4,FALSE))*(VLOOKUP(A68,[1]!TOX,37,FALSE)))/('GW-1 Exp'!$V$13*'GW-1 Derm'!$M68)),('[1]Target Risk'!$D$8*(VLOOKUP(A68,[1]!TOX,4,FALSE))*(VLOOKUP(A68,[1]!TOX,37,FALSE)))/('GW-1 Exp'!$J$18*'GW-1 Derm'!$Q68))</f>
        <v>371.70484966292003</v>
      </c>
      <c r="S68" s="574">
        <f>IF(OR(VLOOKUP(A68,[1]!TOX,12,FALSE)=0,VLOOKUP(A68,[1]!TOX,38,FALSE)=0),0,IF(K68=0,('[1]Target Risk'!$D$12*(VLOOKUP(A68,[1]!TOX,38,FALSE)))/('GW-1 Exp'!$V$21*'GW-1 Derm'!N68*(VLOOKUP(A68,[1]!TOX,12,FALSE))),IF(Q68=0,0,('[1]Target Risk'!$D$12*(VLOOKUP(A68,[1]!TOX,38,FALSE)))/('GW-1 Exp'!$J$26*'GW-1 Derm'!Q68*(VLOOKUP(A68,[1]!TOX,12,FALSE))))))</f>
        <v>0</v>
      </c>
      <c r="T68" s="575">
        <f>IF(OR(VLOOKUP(A68,[1]!TOX,12,FALSE)=0,VLOOKUP(A68,[1]!TOX,38,FALSE)=0),0,IF(NOT(VLOOKUP(A68,[1]!TOX,36,FALSE)="M"), IF(K68=0,('[1]Target Risk'!$D$12*(VLOOKUP(A68,[1]!TOX,38,FALSE)))/('GW-1 Exp'!$V$21*'GW-1 Derm'!N68*(VLOOKUP(A68,[1]!TOX,12,FALSE))),IF(Q68=0,0,('[1]Target Risk'!$D$12*(VLOOKUP(A68,[1]!TOX,38,FALSE)))/('GW-1 Exp'!$J$26*'GW-1 Derm'!Q68*(VLOOKUP(A68,[1]!TOX,12,FALSE))))), IF(K68=0,('[1]Target Risk'!$D$12*(VLOOKUP(A68,[1]!TOX,38,FALSE)))/(('GW-1 Exp'!$V$26*'GW-1 Derm'!AB68*(VLOOKUP(A68,[1]!TOX,12,FALSE))*10)+('GW-1 Exp'!$V$27*'GW-1 Derm'!AC68*(VLOOKUP(A68,[1]!TOX,12,FALSE))*3)+('GW-1 Exp'!$V$28*'GW-1 Derm'!AD68*(VLOOKUP(A68,[1]!TOX,12,FALSE))*3)+('GW-1 Exp'!$V$29*'GW-1 Derm'!AE68*(VLOOKUP(A68,[1]!TOX,12,FALSE))*1)),IF(Q68=0,0,(('[1]Target Risk'!$D$12*(VLOOKUP(A68,[1]!TOX,38,FALSE)))/(('GW-1 Exp'!$J$33*'GW-1 Derm'!Q68*(VLOOKUP(A68,[1]!TOX,12,FALSE))*10)+('GW-1 Exp'!$J$34*'GW-1 Derm'!Q68*(VLOOKUP(A68,[1]!TOX,12,FALSE))*3)+('GW-1 Exp'!$J$35*'GW-1 Derm'!Q68*(VLOOKUP(A68,[1]!TOX,12,FALSE))*3)+('GW-1 Exp'!$J$36*'GW-1 Derm'!Q68*(VLOOKUP(A68,[1]!TOX,12,FALSE))*1)))))))</f>
        <v>0</v>
      </c>
      <c r="AB68" s="838">
        <f>L68*IF('GW-1 Exp'!U$26&lt;=$E68,2*(VLOOKUP(A68,[1]!TOX,67,FALSE))*1*0.000001*SQRT(6*$C68*'GW-1 Exp'!$U$26/PI()),(VLOOKUP(A68,[1]!TOX,67,FALSE))*1*0.000001*('GW-1 Exp'!$U$26/(1+$B68)+2*$C68*(1+3*$B68+3*$B68^2)/(1+$B68)^2))</f>
        <v>6.1838690027533272E-8</v>
      </c>
      <c r="AC68" s="837">
        <f>L68*IF('GW-1 Exp'!U$27&lt;=$E68,2*(VLOOKUP(A68,[1]!TOX,67,FALSE))*1*0.000001*SQRT(6*$C68*'GW-1 Exp'!$U$27/PI()),(VLOOKUP(A68,[1]!TOX,67,FALSE))*1*0.000001*('GW-1 Exp'!$U$27/(1+$B68)+2*$C68*(1+3*$B68+3*$B68^2)/(1+$B68)^2))</f>
        <v>6.7100516999048869E-8</v>
      </c>
      <c r="AD68" s="837">
        <f>L68*IF('GW-1 Exp'!U$28&lt;=$E68,2*(VLOOKUP(A68,[1]!TOX,67,FALSE))*1*0.000001*SQRT(6*$C68*'GW-1 Exp'!$U$28/PI()),(VLOOKUP(A68,[1]!TOX,67,FALSE))*1*0.000001*('GW-1 Exp'!$U$28/(1+$B68)+2*$C68*(1+3*$B68+3*$B68^2)/(1+$B68)^2))</f>
        <v>7.0681693383199262E-8</v>
      </c>
      <c r="AE68" s="839">
        <f>L68*IF('GW-1 Exp'!U$29&lt;=$E68,2*(VLOOKUP(A68,[1]!TOX,67,FALSE))*1*0.000001*SQRT(6*$C68*'GW-1 Exp'!$U$29/PI()),(VLOOKUP(A68,[1]!TOX,67,FALSE))*1*0.000001*('GW-1 Exp'!$U$29/(1+$B68)+2*$C68*(1+3*$B68+3*$B68^2)/(1+$B68)^2))</f>
        <v>8.210056273214627E-8</v>
      </c>
    </row>
    <row r="69" spans="1:31" x14ac:dyDescent="0.25">
      <c r="A69" s="540" t="s">
        <v>283</v>
      </c>
      <c r="B69" s="587">
        <f>(VLOOKUP(A69,[1]!TOX,67,FALSE))*(SQRT((VLOOKUP(A69,[1]!TOX,57,FALSE)))/2.6)</f>
        <v>1.455142672307958E-2</v>
      </c>
      <c r="C69" s="596">
        <f>('GW-1 Exp'!$O$29^2)/(6*D69)</f>
        <v>1.1875413745871126</v>
      </c>
      <c r="D69" s="486">
        <f>10^(-2.8-(0.0056*(VLOOKUP(A69,[1]!TOX,57,FALSE))))*'GW-1 Exp'!$O$29</f>
        <v>1.4034598729211751E-7</v>
      </c>
      <c r="E69" s="597">
        <f t="shared" si="5"/>
        <v>2.8500992990090701</v>
      </c>
      <c r="F69" s="597">
        <f>IF(B69&lt;=0.6,0,(G69-SQRT(G69^2-H69^2))*('GW-1 Exp'!$O$29^2/D69))</f>
        <v>0</v>
      </c>
      <c r="G69" s="582">
        <f t="shared" si="6"/>
        <v>0.31217817123975716</v>
      </c>
      <c r="H69" s="598">
        <f t="shared" si="7"/>
        <v>0.34310385349357214</v>
      </c>
      <c r="I69" s="606">
        <f>IF('GW-1 Exp'!$U$13&lt;=$E69,2*(VLOOKUP(A69,[1]!TOX,67,FALSE))*1*0.000001*SQRT(6*$C69*'GW-1 Exp'!$U$13/PI()),(VLOOKUP(A69,[1]!TOX,67,FALSE))*1*0.000001*('GW-1 Exp'!$U$13/(1+$B69)+2*$C69*(1+3*$B69+3*$B69^2)/(1+$B69)^2))</f>
        <v>6.3992648902702103E-9</v>
      </c>
      <c r="J69" s="607">
        <f>IF('GW-1 Exp'!$U$21&lt;=$E69,2*(VLOOKUP(A69,[1]!TOX,67,FALSE))*1*0.000001*SQRT(6*$C69*'GW-1 Exp'!$U$21/PI()),(VLOOKUP(A69,[1]!TOX,67,FALSE))*1*0.000001*('GW-1 Exp'!$U$21/(1+$B69)+2*$C69*(1+3*$B69+3*$B69^2)/(1+$B69)^2))</f>
        <v>7.2718249450630587E-9</v>
      </c>
      <c r="K69" s="482"/>
      <c r="L69" s="554">
        <v>1</v>
      </c>
      <c r="M69" s="481">
        <f t="shared" si="8"/>
        <v>6.3992648902702103E-9</v>
      </c>
      <c r="N69" s="483">
        <f t="shared" si="9"/>
        <v>7.2718249450630587E-9</v>
      </c>
      <c r="O69" s="486" t="str">
        <f>IF(VLOOKUP(A69,[1]!TOX,81,FALSE)="Y","Inorganic",IF(K69="*","Streamlined",IF($E69=0,"Reduced Steady State",IF('GW-1 Exp'!$U$13&lt;=$E69,"Non-Steady State","Steady State"))))</f>
        <v>Non-Steady State</v>
      </c>
      <c r="P69" s="485" t="str">
        <f>IF(VLOOKUP(A69,[1]!TOX,81,FALSE)="Y","Inorganic",IF(K69="*","Streamlined",IF($E69=0,0,IF('GW-1 Exp'!$U$21&lt;=$E69,"Non-Steady State","Steady State"))))</f>
        <v>Non-Steady State</v>
      </c>
      <c r="Q69" s="563">
        <f>IF(K69=0,0,IF((VLOOKUP(A69,[1]!TOX,67,FALSE))=0,0,IF((VLOOKUP(A69,[1]!TOX,67,FALSE))&lt;0.5,0.2,1)))</f>
        <v>0</v>
      </c>
      <c r="R69" s="614">
        <f>IF(K69=0,IF(M69=0,0,('[1]Target Risk'!$D$8*(VLOOKUP(A69,[1]!TOX,4,FALSE))*(VLOOKUP(A69,[1]!TOX,37,FALSE)))/('GW-1 Exp'!$V$13*'GW-1 Derm'!$M69)),('[1]Target Risk'!$D$8*(VLOOKUP(A69,[1]!TOX,4,FALSE))*(VLOOKUP(A69,[1]!TOX,37,FALSE)))/('GW-1 Exp'!$J$18*'GW-1 Derm'!$Q69))</f>
        <v>692.5812542015309</v>
      </c>
      <c r="S69" s="574">
        <f>IF(OR(VLOOKUP(A69,[1]!TOX,12,FALSE)=0,VLOOKUP(A69,[1]!TOX,38,FALSE)=0),0,IF(K69=0,('[1]Target Risk'!$D$12*(VLOOKUP(A69,[1]!TOX,38,FALSE)))/('GW-1 Exp'!$V$21*'GW-1 Derm'!N69*(VLOOKUP(A69,[1]!TOX,12,FALSE))),IF(Q69=0,0,('[1]Target Risk'!$D$12*(VLOOKUP(A69,[1]!TOX,38,FALSE)))/('GW-1 Exp'!$J$26*'GW-1 Derm'!Q69*(VLOOKUP(A69,[1]!TOX,12,FALSE))))))</f>
        <v>0.51414575354481218</v>
      </c>
      <c r="T69" s="575">
        <f>IF(OR(VLOOKUP(A69,[1]!TOX,12,FALSE)=0,VLOOKUP(A69,[1]!TOX,38,FALSE)=0),0,IF(NOT(VLOOKUP(A69,[1]!TOX,36,FALSE)="M"), IF(K69=0,('[1]Target Risk'!$D$12*(VLOOKUP(A69,[1]!TOX,38,FALSE)))/('GW-1 Exp'!$V$21*'GW-1 Derm'!N69*(VLOOKUP(A69,[1]!TOX,12,FALSE))),IF(Q69=0,0,('[1]Target Risk'!$D$12*(VLOOKUP(A69,[1]!TOX,38,FALSE)))/('GW-1 Exp'!$J$26*'GW-1 Derm'!Q69*(VLOOKUP(A69,[1]!TOX,12,FALSE))))), IF(K69=0,('[1]Target Risk'!$D$12*(VLOOKUP(A69,[1]!TOX,38,FALSE)))/(('GW-1 Exp'!$V$26*'GW-1 Derm'!AB69*(VLOOKUP(A69,[1]!TOX,12,FALSE))*10)+('GW-1 Exp'!$V$27*'GW-1 Derm'!AC69*(VLOOKUP(A69,[1]!TOX,12,FALSE))*3)+('GW-1 Exp'!$V$28*'GW-1 Derm'!AD69*(VLOOKUP(A69,[1]!TOX,12,FALSE))*3)+('GW-1 Exp'!$V$29*'GW-1 Derm'!AE69*(VLOOKUP(A69,[1]!TOX,12,FALSE))*1)),IF(Q69=0,0,(('[1]Target Risk'!$D$12*(VLOOKUP(A69,[1]!TOX,38,FALSE)))/(('GW-1 Exp'!$J$33*'GW-1 Derm'!Q69*(VLOOKUP(A69,[1]!TOX,12,FALSE))*10)+('GW-1 Exp'!$J$34*'GW-1 Derm'!Q69*(VLOOKUP(A69,[1]!TOX,12,FALSE))*3)+('GW-1 Exp'!$J$35*'GW-1 Derm'!Q69*(VLOOKUP(A69,[1]!TOX,12,FALSE))*3)+('GW-1 Exp'!$J$36*'GW-1 Derm'!Q69*(VLOOKUP(A69,[1]!TOX,12,FALSE))*1)))))))</f>
        <v>0.51414575354481218</v>
      </c>
      <c r="AB69" s="838">
        <f>L69*IF('GW-1 Exp'!U$26&lt;=$E69,2*(VLOOKUP(A69,[1]!TOX,67,FALSE))*1*0.000001*SQRT(6*$C69*'GW-1 Exp'!$U$26/PI()),(VLOOKUP(A69,[1]!TOX,67,FALSE))*1*0.000001*('GW-1 Exp'!$U$26/(1+$B69)+2*$C69*(1+3*$B69+3*$B69^2)/(1+$B69)^2))</f>
        <v>5.9739320856677088E-9</v>
      </c>
      <c r="AC69" s="837">
        <f>L69*IF('GW-1 Exp'!U$27&lt;=$E69,2*(VLOOKUP(A69,[1]!TOX,67,FALSE))*1*0.000001*SQRT(6*$C69*'GW-1 Exp'!$U$27/PI()),(VLOOKUP(A69,[1]!TOX,67,FALSE))*1*0.000001*('GW-1 Exp'!$U$27/(1+$B69)+2*$C69*(1+3*$B69+3*$B69^2)/(1+$B69)^2))</f>
        <v>6.4822513427602031E-9</v>
      </c>
      <c r="AD69" s="837">
        <f>L69*IF('GW-1 Exp'!U$28&lt;=$E69,2*(VLOOKUP(A69,[1]!TOX,67,FALSE))*1*0.000001*SQRT(6*$C69*'GW-1 Exp'!$U$28/PI()),(VLOOKUP(A69,[1]!TOX,67,FALSE))*1*0.000001*('GW-1 Exp'!$U$28/(1+$B69)+2*$C69*(1+3*$B69+3*$B69^2)/(1+$B69)^2))</f>
        <v>6.8282112021328086E-9</v>
      </c>
      <c r="AE69" s="839">
        <f>L69*IF('GW-1 Exp'!U$29&lt;=$E69,2*(VLOOKUP(A69,[1]!TOX,67,FALSE))*1*0.000001*SQRT(6*$C69*'GW-1 Exp'!$U$29/PI()),(VLOOKUP(A69,[1]!TOX,67,FALSE))*1*0.000001*('GW-1 Exp'!$U$29/(1+$B69)+2*$C69*(1+3*$B69+3*$B69^2)/(1+$B69)^2))</f>
        <v>7.9313320792948189E-9</v>
      </c>
    </row>
    <row r="70" spans="1:31" x14ac:dyDescent="0.25">
      <c r="A70" s="540" t="s">
        <v>219</v>
      </c>
      <c r="B70" s="587">
        <f>(VLOOKUP(A70,[1]!TOX,67,FALSE))*(SQRT((VLOOKUP(A70,[1]!TOX,57,FALSE)))/2.6)</f>
        <v>1.6296800036966541</v>
      </c>
      <c r="C70" s="596">
        <f>('GW-1 Exp'!$O$29^2)/(6*D70)</f>
        <v>1.4224884526892487</v>
      </c>
      <c r="D70" s="486">
        <f>10^(-2.8-(0.0056*(VLOOKUP(A70,[1]!TOX,57,FALSE))))*'GW-1 Exp'!$O$29</f>
        <v>1.1716556739113019E-7</v>
      </c>
      <c r="E70" s="597">
        <f t="shared" si="5"/>
        <v>5.6934437385628476</v>
      </c>
      <c r="F70" s="597">
        <f>IF(B70&lt;=0.6,0,(G70-SQRT(G70^2-H70^2))*('GW-1 Exp'!$O$29^2/D70))</f>
        <v>5.6934437385628476</v>
      </c>
      <c r="G70" s="582">
        <f t="shared" si="6"/>
        <v>2.6459256837999319</v>
      </c>
      <c r="H70" s="598">
        <f t="shared" si="7"/>
        <v>1.7564381388555907</v>
      </c>
      <c r="I70" s="606">
        <f>IF('GW-1 Exp'!$U$13&lt;=$E70,2*(VLOOKUP(A70,[1]!TOX,67,FALSE))*1*0.000001*SQRT(6*$C70*'GW-1 Exp'!$U$13/PI()),(VLOOKUP(A70,[1]!TOX,67,FALSE))*1*0.000001*('GW-1 Exp'!$U$13/(1+$B70)+2*$C70*(1+3*$B70+3*$B70^2)/(1+$B70)^2))</f>
        <v>7.5671107054970132E-7</v>
      </c>
      <c r="J70" s="607">
        <f>IF('GW-1 Exp'!$U$21&lt;=$E70,2*(VLOOKUP(A70,[1]!TOX,67,FALSE))*1*0.000001*SQRT(6*$C70*'GW-1 Exp'!$U$21/PI()),(VLOOKUP(A70,[1]!TOX,67,FALSE))*1*0.000001*('GW-1 Exp'!$U$21/(1+$B70)+2*$C70*(1+3*$B70+3*$B70^2)/(1+$B70)^2))</f>
        <v>8.5989102395108656E-7</v>
      </c>
      <c r="K70" s="482" t="s">
        <v>91</v>
      </c>
      <c r="L70" s="554">
        <v>1</v>
      </c>
      <c r="M70" s="481">
        <f t="shared" si="8"/>
        <v>7.5671107054970132E-7</v>
      </c>
      <c r="N70" s="483">
        <f t="shared" si="9"/>
        <v>8.5989102395108656E-7</v>
      </c>
      <c r="O70" s="486" t="str">
        <f>IF(VLOOKUP(A70,[1]!TOX,81,FALSE)="Y","Inorganic",IF(K70="*","Streamlined",IF($E70=0,"Reduced Steady State",IF('GW-1 Exp'!$U$13&lt;=$E70,"Non-Steady State","Steady State"))))</f>
        <v>Streamlined</v>
      </c>
      <c r="P70" s="485" t="str">
        <f>IF(VLOOKUP(A70,[1]!TOX,81,FALSE)="Y","Inorganic",IF(K70="*","Streamlined",IF($E70=0,0,IF('GW-1 Exp'!$U$21&lt;=$E70,"Non-Steady State","Steady State"))))</f>
        <v>Streamlined</v>
      </c>
      <c r="Q70" s="563">
        <f>IF(K70=0,0,IF((VLOOKUP(A70,[1]!TOX,67,FALSE))=0,0,IF((VLOOKUP(A70,[1]!TOX,67,FALSE))&lt;0.5,0.2,1)))</f>
        <v>0.2</v>
      </c>
      <c r="R70" s="614">
        <f>IF(K70=0,IF(M70=0,0,('[1]Target Risk'!$D$8*(VLOOKUP(A70,[1]!TOX,4,FALSE))*(VLOOKUP(A70,[1]!TOX,37,FALSE)))/('GW-1 Exp'!$V$13*'GW-1 Derm'!$M70)),('[1]Target Risk'!$D$8*(VLOOKUP(A70,[1]!TOX,4,FALSE))*(VLOOKUP(A70,[1]!TOX,37,FALSE)))/('GW-1 Exp'!$J$18*'GW-1 Derm'!$Q70))</f>
        <v>596.87527472527472</v>
      </c>
      <c r="S70" s="574">
        <f>IF(OR(VLOOKUP(A70,[1]!TOX,12,FALSE)=0,VLOOKUP(A70,[1]!TOX,38,FALSE)=0),0,IF(K70=0,('[1]Target Risk'!$D$12*(VLOOKUP(A70,[1]!TOX,38,FALSE)))/('GW-1 Exp'!$V$21*'GW-1 Derm'!N70*(VLOOKUP(A70,[1]!TOX,12,FALSE))),IF(Q70=0,0,('[1]Target Risk'!$D$12*(VLOOKUP(A70,[1]!TOX,38,FALSE)))/('GW-1 Exp'!$J$26*'GW-1 Derm'!Q70*(VLOOKUP(A70,[1]!TOX,12,FALSE))))))</f>
        <v>0</v>
      </c>
      <c r="T70" s="575">
        <f>IF(OR(VLOOKUP(A70,[1]!TOX,12,FALSE)=0,VLOOKUP(A70,[1]!TOX,38,FALSE)=0),0,IF(NOT(VLOOKUP(A70,[1]!TOX,36,FALSE)="M"), IF(K70=0,('[1]Target Risk'!$D$12*(VLOOKUP(A70,[1]!TOX,38,FALSE)))/('GW-1 Exp'!$V$21*'GW-1 Derm'!N70*(VLOOKUP(A70,[1]!TOX,12,FALSE))),IF(Q70=0,0,('[1]Target Risk'!$D$12*(VLOOKUP(A70,[1]!TOX,38,FALSE)))/('GW-1 Exp'!$J$26*'GW-1 Derm'!Q70*(VLOOKUP(A70,[1]!TOX,12,FALSE))))), IF(K70=0,('[1]Target Risk'!$D$12*(VLOOKUP(A70,[1]!TOX,38,FALSE)))/(('GW-1 Exp'!$V$26*'GW-1 Derm'!AB70*(VLOOKUP(A70,[1]!TOX,12,FALSE))*10)+('GW-1 Exp'!$V$27*'GW-1 Derm'!AC70*(VLOOKUP(A70,[1]!TOX,12,FALSE))*3)+('GW-1 Exp'!$V$28*'GW-1 Derm'!AD70*(VLOOKUP(A70,[1]!TOX,12,FALSE))*3)+('GW-1 Exp'!$V$29*'GW-1 Derm'!AE70*(VLOOKUP(A70,[1]!TOX,12,FALSE))*1)),IF(Q70=0,0,(('[1]Target Risk'!$D$12*(VLOOKUP(A70,[1]!TOX,38,FALSE)))/(('GW-1 Exp'!$J$33*'GW-1 Derm'!Q70*(VLOOKUP(A70,[1]!TOX,12,FALSE))*10)+('GW-1 Exp'!$J$34*'GW-1 Derm'!Q70*(VLOOKUP(A70,[1]!TOX,12,FALSE))*3)+('GW-1 Exp'!$J$35*'GW-1 Derm'!Q70*(VLOOKUP(A70,[1]!TOX,12,FALSE))*3)+('GW-1 Exp'!$J$36*'GW-1 Derm'!Q70*(VLOOKUP(A70,[1]!TOX,12,FALSE))*1)))))))</f>
        <v>0</v>
      </c>
      <c r="AB70" s="838">
        <f>L70*IF('GW-1 Exp'!U$26&lt;=$E70,2*(VLOOKUP(A70,[1]!TOX,67,FALSE))*1*0.000001*SQRT(6*$C70*'GW-1 Exp'!$U$26/PI()),(VLOOKUP(A70,[1]!TOX,67,FALSE))*1*0.000001*('GW-1 Exp'!$U$26/(1+$B70)+2*$C70*(1+3*$B70+3*$B70^2)/(1+$B70)^2))</f>
        <v>7.0641559951832865E-7</v>
      </c>
      <c r="AC70" s="837">
        <f>L70*IF('GW-1 Exp'!U$27&lt;=$E70,2*(VLOOKUP(A70,[1]!TOX,67,FALSE))*1*0.000001*SQRT(6*$C70*'GW-1 Exp'!$U$27/PI()),(VLOOKUP(A70,[1]!TOX,67,FALSE))*1*0.000001*('GW-1 Exp'!$U$27/(1+$B70)+2*$C70*(1+3*$B70+3*$B70^2)/(1+$B70)^2))</f>
        <v>7.6652419258506246E-7</v>
      </c>
      <c r="AD70" s="837">
        <f>L70*IF('GW-1 Exp'!U$28&lt;=$E70,2*(VLOOKUP(A70,[1]!TOX,67,FALSE))*1*0.000001*SQRT(6*$C70*'GW-1 Exp'!$U$28/PI()),(VLOOKUP(A70,[1]!TOX,67,FALSE))*1*0.000001*('GW-1 Exp'!$U$28/(1+$B70)+2*$C70*(1+3*$B70+3*$B70^2)/(1+$B70)^2))</f>
        <v>8.0743383768369103E-7</v>
      </c>
      <c r="AE70" s="839">
        <f>L70*IF('GW-1 Exp'!U$29&lt;=$E70,2*(VLOOKUP(A70,[1]!TOX,67,FALSE))*1*0.000001*SQRT(6*$C70*'GW-1 Exp'!$U$29/PI()),(VLOOKUP(A70,[1]!TOX,67,FALSE))*1*0.000001*('GW-1 Exp'!$U$29/(1+$B70)+2*$C70*(1+3*$B70+3*$B70^2)/(1+$B70)^2))</f>
        <v>9.3787753617352527E-7</v>
      </c>
    </row>
    <row r="71" spans="1:31" x14ac:dyDescent="0.25">
      <c r="A71" s="540" t="s">
        <v>220</v>
      </c>
      <c r="B71" s="587">
        <f>(VLOOKUP(A71,[1]!TOX,67,FALSE))*(SQRT((VLOOKUP(A71,[1]!TOX,57,FALSE)))/2.6)</f>
        <v>0.53000589008606735</v>
      </c>
      <c r="C71" s="596">
        <f>('GW-1 Exp'!$O$29^2)/(6*D71)</f>
        <v>0.89422899919975263</v>
      </c>
      <c r="D71" s="486">
        <f>10^(-2.8-(0.0056*(VLOOKUP(A71,[1]!TOX,57,FALSE))))*'GW-1 Exp'!$O$29</f>
        <v>1.8638029723462E-7</v>
      </c>
      <c r="E71" s="597">
        <f t="shared" si="5"/>
        <v>2.1461495980794063</v>
      </c>
      <c r="F71" s="597">
        <f>IF(B71&lt;=0.6,0,(G71-SQRT(G71^2-H71^2))*('GW-1 Exp'!$O$29^2/D71))</f>
        <v>0</v>
      </c>
      <c r="G71" s="582">
        <f t="shared" si="6"/>
        <v>0.74240472426226856</v>
      </c>
      <c r="H71" s="598">
        <f t="shared" si="7"/>
        <v>0.74786997511555853</v>
      </c>
      <c r="I71" s="606">
        <f>IF('GW-1 Exp'!$U$13&lt;=$E71,2*(VLOOKUP(A71,[1]!TOX,67,FALSE))*1*0.000001*SQRT(6*$C71*'GW-1 Exp'!$U$13/PI()),(VLOOKUP(A71,[1]!TOX,67,FALSE))*1*0.000001*('GW-1 Exp'!$U$13/(1+$B71)+2*$C71*(1+3*$B71+3*$B71^2)/(1+$B71)^2))</f>
        <v>2.1524352097538983E-7</v>
      </c>
      <c r="J71" s="607">
        <f>IF('GW-1 Exp'!$U$21&lt;=$E71,2*(VLOOKUP(A71,[1]!TOX,67,FALSE))*1*0.000001*SQRT(6*$C71*'GW-1 Exp'!$U$21/PI()),(VLOOKUP(A71,[1]!TOX,67,FALSE))*1*0.000001*('GW-1 Exp'!$U$21/(1+$B71)+2*$C71*(1+3*$B71+3*$B71^2)/(1+$B71)^2))</f>
        <v>2.4459265742724273E-7</v>
      </c>
      <c r="K71" s="482" t="s">
        <v>91</v>
      </c>
      <c r="L71" s="554">
        <v>1</v>
      </c>
      <c r="M71" s="481">
        <f t="shared" si="8"/>
        <v>2.1524352097538983E-7</v>
      </c>
      <c r="N71" s="483">
        <f t="shared" si="9"/>
        <v>2.4459265742724273E-7</v>
      </c>
      <c r="O71" s="486" t="str">
        <f>IF(VLOOKUP(A71,[1]!TOX,81,FALSE)="Y","Inorganic",IF(K71="*","Streamlined",IF($E71=0,"Reduced Steady State",IF('GW-1 Exp'!$U$13&lt;=$E71,"Non-Steady State","Steady State"))))</f>
        <v>Streamlined</v>
      </c>
      <c r="P71" s="485" t="str">
        <f>IF(VLOOKUP(A71,[1]!TOX,81,FALSE)="Y","Inorganic",IF(K71="*","Streamlined",IF($E71=0,0,IF('GW-1 Exp'!$U$21&lt;=$E71,"Non-Steady State","Steady State"))))</f>
        <v>Streamlined</v>
      </c>
      <c r="Q71" s="563">
        <f>IF(K71=0,0,IF((VLOOKUP(A71,[1]!TOX,67,FALSE))=0,0,IF((VLOOKUP(A71,[1]!TOX,67,FALSE))&lt;0.5,0.2,1)))</f>
        <v>0.2</v>
      </c>
      <c r="R71" s="614">
        <f>IF(K71=0,IF(M71=0,0,('[1]Target Risk'!$D$8*(VLOOKUP(A71,[1]!TOX,4,FALSE))*(VLOOKUP(A71,[1]!TOX,37,FALSE)))/('GW-1 Exp'!$V$13*'GW-1 Derm'!$M71)),('[1]Target Risk'!$D$8*(VLOOKUP(A71,[1]!TOX,4,FALSE))*(VLOOKUP(A71,[1]!TOX,37,FALSE)))/('GW-1 Exp'!$J$18*'GW-1 Derm'!$Q71))</f>
        <v>596.87527472527472</v>
      </c>
      <c r="S71" s="574">
        <f>IF(OR(VLOOKUP(A71,[1]!TOX,12,FALSE)=0,VLOOKUP(A71,[1]!TOX,38,FALSE)=0),0,IF(K71=0,('[1]Target Risk'!$D$12*(VLOOKUP(A71,[1]!TOX,38,FALSE)))/('GW-1 Exp'!$V$21*'GW-1 Derm'!N71*(VLOOKUP(A71,[1]!TOX,12,FALSE))),IF(Q71=0,0,('[1]Target Risk'!$D$12*(VLOOKUP(A71,[1]!TOX,38,FALSE)))/('GW-1 Exp'!$J$26*'GW-1 Derm'!Q71*(VLOOKUP(A71,[1]!TOX,12,FALSE))))))</f>
        <v>0</v>
      </c>
      <c r="T71" s="575">
        <f>IF(OR(VLOOKUP(A71,[1]!TOX,12,FALSE)=0,VLOOKUP(A71,[1]!TOX,38,FALSE)=0),0,IF(NOT(VLOOKUP(A71,[1]!TOX,36,FALSE)="M"), IF(K71=0,('[1]Target Risk'!$D$12*(VLOOKUP(A71,[1]!TOX,38,FALSE)))/('GW-1 Exp'!$V$21*'GW-1 Derm'!N71*(VLOOKUP(A71,[1]!TOX,12,FALSE))),IF(Q71=0,0,('[1]Target Risk'!$D$12*(VLOOKUP(A71,[1]!TOX,38,FALSE)))/('GW-1 Exp'!$J$26*'GW-1 Derm'!Q71*(VLOOKUP(A71,[1]!TOX,12,FALSE))))), IF(K71=0,('[1]Target Risk'!$D$12*(VLOOKUP(A71,[1]!TOX,38,FALSE)))/(('GW-1 Exp'!$V$26*'GW-1 Derm'!AB71*(VLOOKUP(A71,[1]!TOX,12,FALSE))*10)+('GW-1 Exp'!$V$27*'GW-1 Derm'!AC71*(VLOOKUP(A71,[1]!TOX,12,FALSE))*3)+('GW-1 Exp'!$V$28*'GW-1 Derm'!AD71*(VLOOKUP(A71,[1]!TOX,12,FALSE))*3)+('GW-1 Exp'!$V$29*'GW-1 Derm'!AE71*(VLOOKUP(A71,[1]!TOX,12,FALSE))*1)),IF(Q71=0,0,(('[1]Target Risk'!$D$12*(VLOOKUP(A71,[1]!TOX,38,FALSE)))/(('GW-1 Exp'!$J$33*'GW-1 Derm'!Q71*(VLOOKUP(A71,[1]!TOX,12,FALSE))*10)+('GW-1 Exp'!$J$34*'GW-1 Derm'!Q71*(VLOOKUP(A71,[1]!TOX,12,FALSE))*3)+('GW-1 Exp'!$J$35*'GW-1 Derm'!Q71*(VLOOKUP(A71,[1]!TOX,12,FALSE))*3)+('GW-1 Exp'!$J$36*'GW-1 Derm'!Q71*(VLOOKUP(A71,[1]!TOX,12,FALSE))*1)))))))</f>
        <v>0</v>
      </c>
      <c r="AB71" s="838">
        <f>L71*IF('GW-1 Exp'!U$26&lt;=$E71,2*(VLOOKUP(A71,[1]!TOX,67,FALSE))*1*0.000001*SQRT(6*$C71*'GW-1 Exp'!$U$26/PI()),(VLOOKUP(A71,[1]!TOX,67,FALSE))*1*0.000001*('GW-1 Exp'!$U$26/(1+$B71)+2*$C71*(1+3*$B71+3*$B71^2)/(1+$B71)^2))</f>
        <v>2.0093716985243858E-7</v>
      </c>
      <c r="AC71" s="837">
        <f>L71*IF('GW-1 Exp'!U$27&lt;=$E71,2*(VLOOKUP(A71,[1]!TOX,67,FALSE))*1*0.000001*SQRT(6*$C71*'GW-1 Exp'!$U$27/PI()),(VLOOKUP(A71,[1]!TOX,67,FALSE))*1*0.000001*('GW-1 Exp'!$U$27/(1+$B71)+2*$C71*(1+3*$B71+3*$B71^2)/(1+$B71)^2))</f>
        <v>2.1803482537261239E-7</v>
      </c>
      <c r="AD71" s="837">
        <f>L71*IF('GW-1 Exp'!U$28&lt;=$E71,2*(VLOOKUP(A71,[1]!TOX,67,FALSE))*1*0.000001*SQRT(6*$C71*'GW-1 Exp'!$U$28/PI()),(VLOOKUP(A71,[1]!TOX,67,FALSE))*1*0.000001*('GW-1 Exp'!$U$28/(1+$B71)+2*$C71*(1+3*$B71+3*$B71^2)/(1+$B71)^2))</f>
        <v>2.2967141481286699E-7</v>
      </c>
      <c r="AE71" s="839">
        <f>L71*IF('GW-1 Exp'!U$29&lt;=$E71,2*(VLOOKUP(A71,[1]!TOX,67,FALSE))*1*0.000001*SQRT(6*$C71*'GW-1 Exp'!$U$29/PI()),(VLOOKUP(A71,[1]!TOX,67,FALSE))*1*0.000001*('GW-1 Exp'!$U$29/(1+$B71)+2*$C71*(1+3*$B71+3*$B71^2)/(1+$B71)^2))</f>
        <v>2.6677561751946656E-7</v>
      </c>
    </row>
    <row r="72" spans="1:31" x14ac:dyDescent="0.25">
      <c r="A72" s="540" t="s">
        <v>221</v>
      </c>
      <c r="B72" s="587">
        <f>(VLOOKUP(A72,[1]!TOX,67,FALSE))*(SQRT((VLOOKUP(A72,[1]!TOX,57,FALSE)))/2.6)</f>
        <v>1.0070764797077827</v>
      </c>
      <c r="C72" s="596">
        <f>('GW-1 Exp'!$O$29^2)/(6*D72)</f>
        <v>13.069192342135347</v>
      </c>
      <c r="D72" s="486">
        <f>10^(-2.8-(0.0056*(VLOOKUP(A72,[1]!TOX,57,FALSE))))*'GW-1 Exp'!$O$29</f>
        <v>1.2752637064597317E-8</v>
      </c>
      <c r="E72" s="597">
        <f t="shared" si="5"/>
        <v>50.443680799357161</v>
      </c>
      <c r="F72" s="597">
        <f>IF(B72&lt;=0.6,0,(G72-SQRT(G72^2-H72^2))*('GW-1 Exp'!$O$29^2/D72))</f>
        <v>50.443680799357161</v>
      </c>
      <c r="G72" s="582">
        <f t="shared" si="6"/>
        <v>1.3913755579056137</v>
      </c>
      <c r="H72" s="598">
        <f t="shared" si="7"/>
        <v>1.1731555188990868</v>
      </c>
      <c r="I72" s="606">
        <f>IF('GW-1 Exp'!$U$13&lt;=$E72,2*(VLOOKUP(A72,[1]!TOX,67,FALSE))*1*0.000001*SQRT(6*$C72*'GW-1 Exp'!$U$13/PI()),(VLOOKUP(A72,[1]!TOX,67,FALSE))*1*0.000001*('GW-1 Exp'!$U$13/(1+$B72)+2*$C72*(1+3*$B72+3*$B72^2)/(1+$B72)^2))</f>
        <v>1.0416698344179076E-6</v>
      </c>
      <c r="J72" s="607">
        <f>IF('GW-1 Exp'!$U$21&lt;=$E72,2*(VLOOKUP(A72,[1]!TOX,67,FALSE))*1*0.000001*SQRT(6*$C72*'GW-1 Exp'!$U$21/PI()),(VLOOKUP(A72,[1]!TOX,67,FALSE))*1*0.000001*('GW-1 Exp'!$U$21/(1+$B72)+2*$C72*(1+3*$B72+3*$B72^2)/(1+$B72)^2))</f>
        <v>1.183704818651443E-6</v>
      </c>
      <c r="K72" s="482" t="s">
        <v>91</v>
      </c>
      <c r="L72" s="554">
        <v>0.8</v>
      </c>
      <c r="M72" s="481">
        <f t="shared" si="8"/>
        <v>8.3333586753432608E-7</v>
      </c>
      <c r="N72" s="483">
        <f t="shared" si="9"/>
        <v>9.4696385492115443E-7</v>
      </c>
      <c r="O72" s="486" t="str">
        <f>IF(VLOOKUP(A72,[1]!TOX,81,FALSE)="Y","Inorganic",IF(K72="*","Streamlined",IF($E72=0,"Reduced Steady State",IF('GW-1 Exp'!$U$13&lt;=$E72,"Non-Steady State","Steady State"))))</f>
        <v>Streamlined</v>
      </c>
      <c r="P72" s="485" t="str">
        <f>IF(VLOOKUP(A72,[1]!TOX,81,FALSE)="Y","Inorganic",IF(K72="*","Streamlined",IF($E72=0,0,IF('GW-1 Exp'!$U$21&lt;=$E72,"Non-Steady State","Steady State"))))</f>
        <v>Streamlined</v>
      </c>
      <c r="Q72" s="563">
        <f>IF(K72=0,0,IF((VLOOKUP(A72,[1]!TOX,67,FALSE))=0,0,IF((VLOOKUP(A72,[1]!TOX,67,FALSE))&lt;0.5,0.2,1)))</f>
        <v>0.2</v>
      </c>
      <c r="R72" s="614">
        <f>IF(K72=0,IF(M72=0,0,('[1]Target Risk'!$D$8*(VLOOKUP(A72,[1]!TOX,4,FALSE))*(VLOOKUP(A72,[1]!TOX,37,FALSE)))/('GW-1 Exp'!$V$13*'GW-1 Derm'!$M72)),('[1]Target Risk'!$D$8*(VLOOKUP(A72,[1]!TOX,4,FALSE))*(VLOOKUP(A72,[1]!TOX,37,FALSE)))/('GW-1 Exp'!$J$18*'GW-1 Derm'!$Q72))</f>
        <v>5.3524141483516487</v>
      </c>
      <c r="S72" s="574">
        <f>IF(OR(VLOOKUP(A72,[1]!TOX,12,FALSE)=0,VLOOKUP(A72,[1]!TOX,38,FALSE)=0),0,IF(K72=0,('[1]Target Risk'!$D$12*(VLOOKUP(A72,[1]!TOX,38,FALSE)))/('GW-1 Exp'!$V$21*'GW-1 Derm'!N72*(VLOOKUP(A72,[1]!TOX,12,FALSE))),IF(Q72=0,0,('[1]Target Risk'!$D$12*(VLOOKUP(A72,[1]!TOX,38,FALSE)))/('GW-1 Exp'!$J$26*'GW-1 Derm'!Q72*(VLOOKUP(A72,[1]!TOX,12,FALSE))))))</f>
        <v>4.0525628326693604E-2</v>
      </c>
      <c r="T72" s="575">
        <f>IF(OR(VLOOKUP(A72,[1]!TOX,12,FALSE)=0,VLOOKUP(A72,[1]!TOX,38,FALSE)=0),0,IF(NOT(VLOOKUP(A72,[1]!TOX,36,FALSE)="M"), IF(K72=0,('[1]Target Risk'!$D$12*(VLOOKUP(A72,[1]!TOX,38,FALSE)))/('GW-1 Exp'!$V$21*'GW-1 Derm'!N72*(VLOOKUP(A72,[1]!TOX,12,FALSE))),IF(Q72=0,0,('[1]Target Risk'!$D$12*(VLOOKUP(A72,[1]!TOX,38,FALSE)))/('GW-1 Exp'!$J$26*'GW-1 Derm'!Q72*(VLOOKUP(A72,[1]!TOX,12,FALSE))))), IF(K72=0,('[1]Target Risk'!$D$12*(VLOOKUP(A72,[1]!TOX,38,FALSE)))/(('GW-1 Exp'!$V$26*'GW-1 Derm'!AB72*(VLOOKUP(A72,[1]!TOX,12,FALSE))*10)+('GW-1 Exp'!$V$27*'GW-1 Derm'!AC72*(VLOOKUP(A72,[1]!TOX,12,FALSE))*3)+('GW-1 Exp'!$V$28*'GW-1 Derm'!AD72*(VLOOKUP(A72,[1]!TOX,12,FALSE))*3)+('GW-1 Exp'!$V$29*'GW-1 Derm'!AE72*(VLOOKUP(A72,[1]!TOX,12,FALSE))*1)),IF(Q72=0,0,(('[1]Target Risk'!$D$12*(VLOOKUP(A72,[1]!TOX,38,FALSE)))/(('GW-1 Exp'!$J$33*'GW-1 Derm'!Q72*(VLOOKUP(A72,[1]!TOX,12,FALSE))*10)+('GW-1 Exp'!$J$34*'GW-1 Derm'!Q72*(VLOOKUP(A72,[1]!TOX,12,FALSE))*3)+('GW-1 Exp'!$J$35*'GW-1 Derm'!Q72*(VLOOKUP(A72,[1]!TOX,12,FALSE))*3)+('GW-1 Exp'!$J$36*'GW-1 Derm'!Q72*(VLOOKUP(A72,[1]!TOX,12,FALSE))*1)))))))</f>
        <v>4.0525628326693604E-2</v>
      </c>
      <c r="AB72" s="838">
        <f>L72*IF('GW-1 Exp'!U$26&lt;=$E72,2*(VLOOKUP(A72,[1]!TOX,67,FALSE))*1*0.000001*SQRT(6*$C72*'GW-1 Exp'!$U$26/PI()),(VLOOKUP(A72,[1]!TOX,67,FALSE))*1*0.000001*('GW-1 Exp'!$U$26/(1+$B72)+2*$C72*(1+3*$B72+3*$B72^2)/(1+$B72)^2))</f>
        <v>7.779474615545782E-7</v>
      </c>
      <c r="AC72" s="837">
        <f>L72*IF('GW-1 Exp'!U$27&lt;=$E72,2*(VLOOKUP(A72,[1]!TOX,67,FALSE))*1*0.000001*SQRT(6*$C72*'GW-1 Exp'!$U$27/PI()),(VLOOKUP(A72,[1]!TOX,67,FALSE))*1*0.000001*('GW-1 Exp'!$U$27/(1+$B72)+2*$C72*(1+3*$B72+3*$B72^2)/(1+$B72)^2))</f>
        <v>8.4414266934127919E-7</v>
      </c>
      <c r="AD72" s="837">
        <f>L72*IF('GW-1 Exp'!U$28&lt;=$E72,2*(VLOOKUP(A72,[1]!TOX,67,FALSE))*1*0.000001*SQRT(6*$C72*'GW-1 Exp'!$U$28/PI()),(VLOOKUP(A72,[1]!TOX,67,FALSE))*1*0.000001*('GW-1 Exp'!$U$28/(1+$B72)+2*$C72*(1+3*$B72+3*$B72^2)/(1+$B72)^2))</f>
        <v>8.8919483775216537E-7</v>
      </c>
      <c r="AE72" s="839">
        <f>L72*IF('GW-1 Exp'!U$29&lt;=$E72,2*(VLOOKUP(A72,[1]!TOX,67,FALSE))*1*0.000001*SQRT(6*$C72*'GW-1 Exp'!$U$29/PI()),(VLOOKUP(A72,[1]!TOX,67,FALSE))*1*0.000001*('GW-1 Exp'!$U$29/(1+$B72)+2*$C72*(1+3*$B72+3*$B72^2)/(1+$B72)^2))</f>
        <v>1.0328473054852542E-6</v>
      </c>
    </row>
    <row r="73" spans="1:31" x14ac:dyDescent="0.25">
      <c r="A73" s="540" t="s">
        <v>222</v>
      </c>
      <c r="B73" s="587">
        <f>(VLOOKUP(A73,[1]!TOX,67,FALSE))*(SQRT((VLOOKUP(A73,[1]!TOX,57,FALSE)))/2.6)</f>
        <v>0.15431262273246468</v>
      </c>
      <c r="C73" s="596">
        <f>('GW-1 Exp'!$O$29^2)/(6*D73)</f>
        <v>15.858012272529322</v>
      </c>
      <c r="D73" s="486">
        <f>10^(-2.8-(0.0056*(VLOOKUP(A73,[1]!TOX,57,FALSE))))*'GW-1 Exp'!$O$29</f>
        <v>1.0509934271862159E-8</v>
      </c>
      <c r="E73" s="597">
        <f t="shared" si="5"/>
        <v>38.059229454070369</v>
      </c>
      <c r="F73" s="597">
        <f>IF(B73&lt;=0.6,0,(G73-SQRT(G73^2-H73^2))*('GW-1 Exp'!$O$29^2/D73))</f>
        <v>0</v>
      </c>
      <c r="G73" s="582">
        <f t="shared" si="6"/>
        <v>0.40517137251141755</v>
      </c>
      <c r="H73" s="598">
        <f t="shared" si="7"/>
        <v>0.44308476882948444</v>
      </c>
      <c r="I73" s="606">
        <f>IF('GW-1 Exp'!$U$13&lt;=$E73,2*(VLOOKUP(A73,[1]!TOX,67,FALSE))*1*0.000001*SQRT(6*$C73*'GW-1 Exp'!$U$13/PI()),(VLOOKUP(A73,[1]!TOX,67,FALSE))*1*0.000001*('GW-1 Exp'!$U$13/(1+$B73)+2*$C73*(1+3*$B73+3*$B73^2)/(1+$B73)^2))</f>
        <v>1.7239715226212125E-7</v>
      </c>
      <c r="J73" s="607">
        <f>IF('GW-1 Exp'!$U$21&lt;=$E73,2*(VLOOKUP(A73,[1]!TOX,67,FALSE))*1*0.000001*SQRT(6*$C73*'GW-1 Exp'!$U$21/PI()),(VLOOKUP(A73,[1]!TOX,67,FALSE))*1*0.000001*('GW-1 Exp'!$U$21/(1+$B73)+2*$C73*(1+3*$B73+3*$B73^2)/(1+$B73)^2))</f>
        <v>1.9590405050799396E-7</v>
      </c>
      <c r="K73" s="482" t="s">
        <v>91</v>
      </c>
      <c r="L73" s="554">
        <v>1</v>
      </c>
      <c r="M73" s="481">
        <f t="shared" si="8"/>
        <v>1.7239715226212125E-7</v>
      </c>
      <c r="N73" s="483">
        <f t="shared" si="9"/>
        <v>1.9590405050799396E-7</v>
      </c>
      <c r="O73" s="486" t="str">
        <f>IF(VLOOKUP(A73,[1]!TOX,81,FALSE)="Y","Inorganic",IF(K73="*","Streamlined",IF($E73=0,"Reduced Steady State",IF('GW-1 Exp'!$U$13&lt;=$E73,"Non-Steady State","Steady State"))))</f>
        <v>Streamlined</v>
      </c>
      <c r="P73" s="485" t="str">
        <f>IF(VLOOKUP(A73,[1]!TOX,81,FALSE)="Y","Inorganic",IF(K73="*","Streamlined",IF($E73=0,0,IF('GW-1 Exp'!$U$21&lt;=$E73,"Non-Steady State","Steady State"))))</f>
        <v>Streamlined</v>
      </c>
      <c r="Q73" s="563">
        <f>IF(K73=0,0,IF((VLOOKUP(A73,[1]!TOX,67,FALSE))=0,0,IF((VLOOKUP(A73,[1]!TOX,67,FALSE))&lt;0.5,0.2,1)))</f>
        <v>0.2</v>
      </c>
      <c r="R73" s="614">
        <f>IF(K73=0,IF(M73=0,0,('[1]Target Risk'!$D$8*(VLOOKUP(A73,[1]!TOX,4,FALSE))*(VLOOKUP(A73,[1]!TOX,37,FALSE)))/('GW-1 Exp'!$V$13*'GW-1 Derm'!$M73)),('[1]Target Risk'!$D$8*(VLOOKUP(A73,[1]!TOX,4,FALSE))*(VLOOKUP(A73,[1]!TOX,37,FALSE)))/('GW-1 Exp'!$J$18*'GW-1 Derm'!$Q73))</f>
        <v>0.13916276785714288</v>
      </c>
      <c r="S73" s="574">
        <f>IF(OR(VLOOKUP(A73,[1]!TOX,12,FALSE)=0,VLOOKUP(A73,[1]!TOX,38,FALSE)=0),0,IF(K73=0,('[1]Target Risk'!$D$12*(VLOOKUP(A73,[1]!TOX,38,FALSE)))/('GW-1 Exp'!$V$21*'GW-1 Derm'!N73*(VLOOKUP(A73,[1]!TOX,12,FALSE))),IF(Q73=0,0,('[1]Target Risk'!$D$12*(VLOOKUP(A73,[1]!TOX,38,FALSE)))/('GW-1 Exp'!$J$26*'GW-1 Derm'!Q73*(VLOOKUP(A73,[1]!TOX,12,FALSE))))))</f>
        <v>2.0040145875837499E-2</v>
      </c>
      <c r="T73" s="575">
        <f>IF(OR(VLOOKUP(A73,[1]!TOX,12,FALSE)=0,VLOOKUP(A73,[1]!TOX,38,FALSE)=0),0,IF(NOT(VLOOKUP(A73,[1]!TOX,36,FALSE)="M"), IF(K73=0,('[1]Target Risk'!$D$12*(VLOOKUP(A73,[1]!TOX,38,FALSE)))/('GW-1 Exp'!$V$21*'GW-1 Derm'!N73*(VLOOKUP(A73,[1]!TOX,12,FALSE))),IF(Q73=0,0,('[1]Target Risk'!$D$12*(VLOOKUP(A73,[1]!TOX,38,FALSE)))/('GW-1 Exp'!$J$26*'GW-1 Derm'!Q73*(VLOOKUP(A73,[1]!TOX,12,FALSE))))), IF(K73=0,('[1]Target Risk'!$D$12*(VLOOKUP(A73,[1]!TOX,38,FALSE)))/(('GW-1 Exp'!$V$26*'GW-1 Derm'!AB73*(VLOOKUP(A73,[1]!TOX,12,FALSE))*10)+('GW-1 Exp'!$V$27*'GW-1 Derm'!AC73*(VLOOKUP(A73,[1]!TOX,12,FALSE))*3)+('GW-1 Exp'!$V$28*'GW-1 Derm'!AD73*(VLOOKUP(A73,[1]!TOX,12,FALSE))*3)+('GW-1 Exp'!$V$29*'GW-1 Derm'!AE73*(VLOOKUP(A73,[1]!TOX,12,FALSE))*1)),IF(Q73=0,0,(('[1]Target Risk'!$D$12*(VLOOKUP(A73,[1]!TOX,38,FALSE)))/(('GW-1 Exp'!$J$33*'GW-1 Derm'!Q73*(VLOOKUP(A73,[1]!TOX,12,FALSE))*10)+('GW-1 Exp'!$J$34*'GW-1 Derm'!Q73*(VLOOKUP(A73,[1]!TOX,12,FALSE))*3)+('GW-1 Exp'!$J$35*'GW-1 Derm'!Q73*(VLOOKUP(A73,[1]!TOX,12,FALSE))*3)+('GW-1 Exp'!$J$36*'GW-1 Derm'!Q73*(VLOOKUP(A73,[1]!TOX,12,FALSE))*1)))))))</f>
        <v>2.0040145875837499E-2</v>
      </c>
      <c r="AB73" s="838">
        <f>L73*IF('GW-1 Exp'!U$26&lt;=$E73,2*(VLOOKUP(A73,[1]!TOX,67,FALSE))*1*0.000001*SQRT(6*$C73*'GW-1 Exp'!$U$26/PI()),(VLOOKUP(A73,[1]!TOX,67,FALSE))*1*0.000001*('GW-1 Exp'!$U$26/(1+$B73)+2*$C73*(1+3*$B73+3*$B73^2)/(1+$B73)^2))</f>
        <v>1.6093862295688474E-7</v>
      </c>
      <c r="AC73" s="837">
        <f>L73*IF('GW-1 Exp'!U$27&lt;=$E73,2*(VLOOKUP(A73,[1]!TOX,67,FALSE))*1*0.000001*SQRT(6*$C73*'GW-1 Exp'!$U$27/PI()),(VLOOKUP(A73,[1]!TOX,67,FALSE))*1*0.000001*('GW-1 Exp'!$U$27/(1+$B73)+2*$C73*(1+3*$B73+3*$B73^2)/(1+$B73)^2))</f>
        <v>1.7463281969126039E-7</v>
      </c>
      <c r="AD73" s="837">
        <f>L73*IF('GW-1 Exp'!U$28&lt;=$E73,2*(VLOOKUP(A73,[1]!TOX,67,FALSE))*1*0.000001*SQRT(6*$C73*'GW-1 Exp'!$U$28/PI()),(VLOOKUP(A73,[1]!TOX,67,FALSE))*1*0.000001*('GW-1 Exp'!$U$28/(1+$B73)+2*$C73*(1+3*$B73+3*$B73^2)/(1+$B73)^2))</f>
        <v>1.8395302999284123E-7</v>
      </c>
      <c r="AE73" s="839">
        <f>L73*IF('GW-1 Exp'!U$29&lt;=$E73,2*(VLOOKUP(A73,[1]!TOX,67,FALSE))*1*0.000001*SQRT(6*$C73*'GW-1 Exp'!$U$29/PI()),(VLOOKUP(A73,[1]!TOX,67,FALSE))*1*0.000001*('GW-1 Exp'!$U$29/(1+$B73)+2*$C73*(1+3*$B73+3*$B73^2)/(1+$B73)^2))</f>
        <v>2.1367127124157844E-7</v>
      </c>
    </row>
    <row r="74" spans="1:31" x14ac:dyDescent="0.25">
      <c r="A74" s="540" t="s">
        <v>223</v>
      </c>
      <c r="B74" s="587">
        <f>(VLOOKUP(A74,[1]!TOX,67,FALSE))*(SQRT((VLOOKUP(A74,[1]!TOX,57,FALSE)))/2.6)</f>
        <v>1.5785163406755982</v>
      </c>
      <c r="C74" s="596">
        <f>('GW-1 Exp'!$O$29^2)/(6*D74)</f>
        <v>4.1480955304706573</v>
      </c>
      <c r="D74" s="486">
        <f>10^(-2.8-(0.0056*(VLOOKUP(A74,[1]!TOX,57,FALSE))))*'GW-1 Exp'!$O$29</f>
        <v>4.0179081084893938E-8</v>
      </c>
      <c r="E74" s="597">
        <f t="shared" si="5"/>
        <v>16.554972383705898</v>
      </c>
      <c r="F74" s="597">
        <f>IF(B74&lt;=0.6,0,(G74-SQRT(G74^2-H74^2))*('GW-1 Exp'!$O$29^2/D74))</f>
        <v>16.554972383705898</v>
      </c>
      <c r="G74" s="582">
        <f t="shared" si="6"/>
        <v>2.5249338483207495</v>
      </c>
      <c r="H74" s="598">
        <f t="shared" si="7"/>
        <v>1.7077896472182266</v>
      </c>
      <c r="I74" s="606">
        <f>IF('GW-1 Exp'!$U$13&lt;=$E74,2*(VLOOKUP(A74,[1]!TOX,67,FALSE))*1*0.000001*SQRT(6*$C74*'GW-1 Exp'!$U$13/PI()),(VLOOKUP(A74,[1]!TOX,67,FALSE))*1*0.000001*('GW-1 Exp'!$U$13/(1+$B74)+2*$C74*(1+3*$B74+3*$B74^2)/(1+$B74)^2))</f>
        <v>1.0537318026194684E-6</v>
      </c>
      <c r="J74" s="607">
        <f>IF('GW-1 Exp'!$U$21&lt;=$E74,2*(VLOOKUP(A74,[1]!TOX,67,FALSE))*1*0.000001*SQRT(6*$C74*'GW-1 Exp'!$U$21/PI()),(VLOOKUP(A74,[1]!TOX,67,FALSE))*1*0.000001*('GW-1 Exp'!$U$21/(1+$B74)+2*$C74*(1+3*$B74+3*$B74^2)/(1+$B74)^2))</f>
        <v>1.1974114744562419E-6</v>
      </c>
      <c r="K74" s="482" t="s">
        <v>91</v>
      </c>
      <c r="L74" s="554">
        <v>0.9</v>
      </c>
      <c r="M74" s="481">
        <f t="shared" si="8"/>
        <v>9.4835862235752152E-7</v>
      </c>
      <c r="N74" s="483">
        <f t="shared" si="9"/>
        <v>1.0776703270106177E-6</v>
      </c>
      <c r="O74" s="486" t="str">
        <f>IF(VLOOKUP(A74,[1]!TOX,81,FALSE)="Y","Inorganic",IF(K74="*","Streamlined",IF($E74=0,"Reduced Steady State",IF('GW-1 Exp'!$U$13&lt;=$E74,"Non-Steady State","Steady State"))))</f>
        <v>Streamlined</v>
      </c>
      <c r="P74" s="485" t="str">
        <f>IF(VLOOKUP(A74,[1]!TOX,81,FALSE)="Y","Inorganic",IF(K74="*","Streamlined",IF($E74=0,0,IF('GW-1 Exp'!$U$21&lt;=$E74,"Non-Steady State","Steady State"))))</f>
        <v>Streamlined</v>
      </c>
      <c r="Q74" s="563">
        <f>IF(K74=0,0,IF((VLOOKUP(A74,[1]!TOX,67,FALSE))=0,0,IF((VLOOKUP(A74,[1]!TOX,67,FALSE))&lt;0.5,0.2,1)))</f>
        <v>0.2</v>
      </c>
      <c r="R74" s="614">
        <f>IF(K74=0,IF(M74=0,0,('[1]Target Risk'!$D$8*(VLOOKUP(A74,[1]!TOX,4,FALSE))*(VLOOKUP(A74,[1]!TOX,37,FALSE)))/('GW-1 Exp'!$V$13*'GW-1 Derm'!$M74)),('[1]Target Risk'!$D$8*(VLOOKUP(A74,[1]!TOX,4,FALSE))*(VLOOKUP(A74,[1]!TOX,37,FALSE)))/('GW-1 Exp'!$J$18*'GW-1 Derm'!$Q74))</f>
        <v>0.12975549450549453</v>
      </c>
      <c r="S74" s="574">
        <f>IF(OR(VLOOKUP(A74,[1]!TOX,12,FALSE)=0,VLOOKUP(A74,[1]!TOX,38,FALSE)=0),0,IF(K74=0,('[1]Target Risk'!$D$12*(VLOOKUP(A74,[1]!TOX,38,FALSE)))/('GW-1 Exp'!$V$21*'GW-1 Derm'!N74*(VLOOKUP(A74,[1]!TOX,12,FALSE))),IF(Q74=0,0,('[1]Target Risk'!$D$12*(VLOOKUP(A74,[1]!TOX,38,FALSE)))/('GW-1 Exp'!$J$26*'GW-1 Derm'!Q74*(VLOOKUP(A74,[1]!TOX,12,FALSE))))))</f>
        <v>0.13815555111372818</v>
      </c>
      <c r="T74" s="575">
        <f>IF(OR(VLOOKUP(A74,[1]!TOX,12,FALSE)=0,VLOOKUP(A74,[1]!TOX,38,FALSE)=0),0,IF(NOT(VLOOKUP(A74,[1]!TOX,36,FALSE)="M"), IF(K74=0,('[1]Target Risk'!$D$12*(VLOOKUP(A74,[1]!TOX,38,FALSE)))/('GW-1 Exp'!$V$21*'GW-1 Derm'!N74*(VLOOKUP(A74,[1]!TOX,12,FALSE))),IF(Q74=0,0,('[1]Target Risk'!$D$12*(VLOOKUP(A74,[1]!TOX,38,FALSE)))/('GW-1 Exp'!$J$26*'GW-1 Derm'!Q74*(VLOOKUP(A74,[1]!TOX,12,FALSE))))), IF(K74=0,('[1]Target Risk'!$D$12*(VLOOKUP(A74,[1]!TOX,38,FALSE)))/(('GW-1 Exp'!$V$26*'GW-1 Derm'!AB74*(VLOOKUP(A74,[1]!TOX,12,FALSE))*10)+('GW-1 Exp'!$V$27*'GW-1 Derm'!AC74*(VLOOKUP(A74,[1]!TOX,12,FALSE))*3)+('GW-1 Exp'!$V$28*'GW-1 Derm'!AD74*(VLOOKUP(A74,[1]!TOX,12,FALSE))*3)+('GW-1 Exp'!$V$29*'GW-1 Derm'!AE74*(VLOOKUP(A74,[1]!TOX,12,FALSE))*1)),IF(Q74=0,0,(('[1]Target Risk'!$D$12*(VLOOKUP(A74,[1]!TOX,38,FALSE)))/(('GW-1 Exp'!$J$33*'GW-1 Derm'!Q74*(VLOOKUP(A74,[1]!TOX,12,FALSE))*10)+('GW-1 Exp'!$J$34*'GW-1 Derm'!Q74*(VLOOKUP(A74,[1]!TOX,12,FALSE))*3)+('GW-1 Exp'!$J$35*'GW-1 Derm'!Q74*(VLOOKUP(A74,[1]!TOX,12,FALSE))*3)+('GW-1 Exp'!$J$36*'GW-1 Derm'!Q74*(VLOOKUP(A74,[1]!TOX,12,FALSE))*1)))))))</f>
        <v>0.13815555111372818</v>
      </c>
      <c r="AB74" s="838">
        <f>L74*IF('GW-1 Exp'!U$26&lt;=$E74,2*(VLOOKUP(A74,[1]!TOX,67,FALSE))*1*0.000001*SQRT(6*$C74*'GW-1 Exp'!$U$26/PI()),(VLOOKUP(A74,[1]!TOX,67,FALSE))*1*0.000001*('GW-1 Exp'!$U$26/(1+$B74)+2*$C74*(1+3*$B74+3*$B74^2)/(1+$B74)^2))</f>
        <v>8.8532512717753758E-7</v>
      </c>
      <c r="AC74" s="837">
        <f>L74*IF('GW-1 Exp'!U$27&lt;=$E74,2*(VLOOKUP(A74,[1]!TOX,67,FALSE))*1*0.000001*SQRT(6*$C74*'GW-1 Exp'!$U$27/PI()),(VLOOKUP(A74,[1]!TOX,67,FALSE))*1*0.000001*('GW-1 Exp'!$U$27/(1+$B74)+2*$C74*(1+3*$B74+3*$B74^2)/(1+$B74)^2))</f>
        <v>9.606570533659658E-7</v>
      </c>
      <c r="AD74" s="837">
        <f>L74*IF('GW-1 Exp'!U$28&lt;=$E74,2*(VLOOKUP(A74,[1]!TOX,67,FALSE))*1*0.000001*SQRT(6*$C74*'GW-1 Exp'!$U$28/PI()),(VLOOKUP(A74,[1]!TOX,67,FALSE))*1*0.000001*('GW-1 Exp'!$U$28/(1+$B74)+2*$C74*(1+3*$B74+3*$B74^2)/(1+$B74)^2))</f>
        <v>1.0119276322920636E-6</v>
      </c>
      <c r="AE74" s="839">
        <f>L74*IF('GW-1 Exp'!U$29&lt;=$E74,2*(VLOOKUP(A74,[1]!TOX,67,FALSE))*1*0.000001*SQRT(6*$C74*'GW-1 Exp'!$U$29/PI()),(VLOOKUP(A74,[1]!TOX,67,FALSE))*1*0.000001*('GW-1 Exp'!$U$29/(1+$B74)+2*$C74*(1+3*$B74+3*$B74^2)/(1+$B74)^2))</f>
        <v>1.1754080028186557E-6</v>
      </c>
    </row>
    <row r="75" spans="1:31" x14ac:dyDescent="0.25">
      <c r="A75" s="540" t="s">
        <v>224</v>
      </c>
      <c r="B75" s="587">
        <f>(VLOOKUP(A75,[1]!TOX,67,FALSE))*(SQRT((VLOOKUP(A75,[1]!TOX,57,FALSE)))/2.6)</f>
        <v>0.48590000742376532</v>
      </c>
      <c r="C75" s="596">
        <f>('GW-1 Exp'!$O$29^2)/(6*D75)</f>
        <v>3.0440287479572556</v>
      </c>
      <c r="D75" s="486">
        <f>10^(-2.8-(0.0056*(VLOOKUP(A75,[1]!TOX,57,FALSE))))*'GW-1 Exp'!$O$29</f>
        <v>5.475200153037681E-8</v>
      </c>
      <c r="E75" s="597">
        <f t="shared" si="5"/>
        <v>7.3056689950974132</v>
      </c>
      <c r="F75" s="597">
        <f>IF(B75&lt;=0.6,0,(G75-SQRT(G75^2-H75^2))*('GW-1 Exp'!$O$29^2/D75))</f>
        <v>0</v>
      </c>
      <c r="G75" s="582">
        <f t="shared" si="6"/>
        <v>0.69536111258259825</v>
      </c>
      <c r="H75" s="598">
        <f t="shared" si="7"/>
        <v>0.71023093929532677</v>
      </c>
      <c r="I75" s="606">
        <f>IF('GW-1 Exp'!$U$13&lt;=$E75,2*(VLOOKUP(A75,[1]!TOX,67,FALSE))*1*0.000001*SQRT(6*$C75*'GW-1 Exp'!$U$13/PI()),(VLOOKUP(A75,[1]!TOX,67,FALSE))*1*0.000001*('GW-1 Exp'!$U$13/(1+$B75)+2*$C75*(1+3*$B75+3*$B75^2)/(1+$B75)^2))</f>
        <v>2.9035552051413911E-7</v>
      </c>
      <c r="J75" s="607">
        <f>IF('GW-1 Exp'!$U$21&lt;=$E75,2*(VLOOKUP(A75,[1]!TOX,67,FALSE))*1*0.000001*SQRT(6*$C75*'GW-1 Exp'!$U$21/PI()),(VLOOKUP(A75,[1]!TOX,67,FALSE))*1*0.000001*('GW-1 Exp'!$U$21/(1+$B75)+2*$C75*(1+3*$B75+3*$B75^2)/(1+$B75)^2))</f>
        <v>3.2994641622380642E-7</v>
      </c>
      <c r="K75" s="482" t="s">
        <v>91</v>
      </c>
      <c r="L75" s="554">
        <v>0.9</v>
      </c>
      <c r="M75" s="481">
        <f t="shared" si="8"/>
        <v>2.6131996846272521E-7</v>
      </c>
      <c r="N75" s="483">
        <f t="shared" si="9"/>
        <v>2.9695177460142579E-7</v>
      </c>
      <c r="O75" s="486" t="str">
        <f>IF(VLOOKUP(A75,[1]!TOX,81,FALSE)="Y","Inorganic",IF(K75="*","Streamlined",IF($E75=0,"Reduced Steady State",IF('GW-1 Exp'!$U$13&lt;=$E75,"Non-Steady State","Steady State"))))</f>
        <v>Streamlined</v>
      </c>
      <c r="P75" s="485" t="str">
        <f>IF(VLOOKUP(A75,[1]!TOX,81,FALSE)="Y","Inorganic",IF(K75="*","Streamlined",IF($E75=0,0,IF('GW-1 Exp'!$U$21&lt;=$E75,"Non-Steady State","Steady State"))))</f>
        <v>Streamlined</v>
      </c>
      <c r="Q75" s="563">
        <f>IF(K75=0,0,IF((VLOOKUP(A75,[1]!TOX,67,FALSE))=0,0,IF((VLOOKUP(A75,[1]!TOX,67,FALSE))&lt;0.5,0.2,1)))</f>
        <v>0.2</v>
      </c>
      <c r="R75" s="614">
        <f>IF(K75=0,IF(M75=0,0,('[1]Target Risk'!$D$8*(VLOOKUP(A75,[1]!TOX,4,FALSE))*(VLOOKUP(A75,[1]!TOX,37,FALSE)))/('GW-1 Exp'!$V$13*'GW-1 Derm'!$M75)),('[1]Target Risk'!$D$8*(VLOOKUP(A75,[1]!TOX,4,FALSE))*(VLOOKUP(A75,[1]!TOX,37,FALSE)))/('GW-1 Exp'!$J$18*'GW-1 Derm'!$Q75))</f>
        <v>16.219436813186814</v>
      </c>
      <c r="S75" s="574">
        <f>IF(OR(VLOOKUP(A75,[1]!TOX,12,FALSE)=0,VLOOKUP(A75,[1]!TOX,38,FALSE)=0),0,IF(K75=0,('[1]Target Risk'!$D$12*(VLOOKUP(A75,[1]!TOX,38,FALSE)))/('GW-1 Exp'!$V$21*'GW-1 Derm'!N75*(VLOOKUP(A75,[1]!TOX,12,FALSE))),IF(Q75=0,0,('[1]Target Risk'!$D$12*(VLOOKUP(A75,[1]!TOX,38,FALSE)))/('GW-1 Exp'!$J$26*'GW-1 Derm'!Q75*(VLOOKUP(A75,[1]!TOX,12,FALSE))))))</f>
        <v>3.5424500285571332</v>
      </c>
      <c r="T75" s="575">
        <f>IF(OR(VLOOKUP(A75,[1]!TOX,12,FALSE)=0,VLOOKUP(A75,[1]!TOX,38,FALSE)=0),0,IF(NOT(VLOOKUP(A75,[1]!TOX,36,FALSE)="M"), IF(K75=0,('[1]Target Risk'!$D$12*(VLOOKUP(A75,[1]!TOX,38,FALSE)))/('GW-1 Exp'!$V$21*'GW-1 Derm'!N75*(VLOOKUP(A75,[1]!TOX,12,FALSE))),IF(Q75=0,0,('[1]Target Risk'!$D$12*(VLOOKUP(A75,[1]!TOX,38,FALSE)))/('GW-1 Exp'!$J$26*'GW-1 Derm'!Q75*(VLOOKUP(A75,[1]!TOX,12,FALSE))))), IF(K75=0,('[1]Target Risk'!$D$12*(VLOOKUP(A75,[1]!TOX,38,FALSE)))/(('GW-1 Exp'!$V$26*'GW-1 Derm'!AB75*(VLOOKUP(A75,[1]!TOX,12,FALSE))*10)+('GW-1 Exp'!$V$27*'GW-1 Derm'!AC75*(VLOOKUP(A75,[1]!TOX,12,FALSE))*3)+('GW-1 Exp'!$V$28*'GW-1 Derm'!AD75*(VLOOKUP(A75,[1]!TOX,12,FALSE))*3)+('GW-1 Exp'!$V$29*'GW-1 Derm'!AE75*(VLOOKUP(A75,[1]!TOX,12,FALSE))*1)),IF(Q75=0,0,(('[1]Target Risk'!$D$12*(VLOOKUP(A75,[1]!TOX,38,FALSE)))/(('GW-1 Exp'!$J$33*'GW-1 Derm'!Q75*(VLOOKUP(A75,[1]!TOX,12,FALSE))*10)+('GW-1 Exp'!$J$34*'GW-1 Derm'!Q75*(VLOOKUP(A75,[1]!TOX,12,FALSE))*3)+('GW-1 Exp'!$J$35*'GW-1 Derm'!Q75*(VLOOKUP(A75,[1]!TOX,12,FALSE))*3)+('GW-1 Exp'!$J$36*'GW-1 Derm'!Q75*(VLOOKUP(A75,[1]!TOX,12,FALSE))*1)))))))</f>
        <v>3.5424500285571332</v>
      </c>
      <c r="AB75" s="838">
        <f>L75*IF('GW-1 Exp'!U$26&lt;=$E75,2*(VLOOKUP(A75,[1]!TOX,67,FALSE))*1*0.000001*SQRT(6*$C75*'GW-1 Exp'!$U$26/PI()),(VLOOKUP(A75,[1]!TOX,67,FALSE))*1*0.000001*('GW-1 Exp'!$U$26/(1+$B75)+2*$C75*(1+3*$B75+3*$B75^2)/(1+$B75)^2))</f>
        <v>2.4395110547755902E-7</v>
      </c>
      <c r="AC75" s="837">
        <f>L75*IF('GW-1 Exp'!U$27&lt;=$E75,2*(VLOOKUP(A75,[1]!TOX,67,FALSE))*1*0.000001*SQRT(6*$C75*'GW-1 Exp'!$U$27/PI()),(VLOOKUP(A75,[1]!TOX,67,FALSE))*1*0.000001*('GW-1 Exp'!$U$27/(1+$B75)+2*$C75*(1+3*$B75+3*$B75^2)/(1+$B75)^2))</f>
        <v>2.6470879788600649E-7</v>
      </c>
      <c r="AD75" s="837">
        <f>L75*IF('GW-1 Exp'!U$28&lt;=$E75,2*(VLOOKUP(A75,[1]!TOX,67,FALSE))*1*0.000001*SQRT(6*$C75*'GW-1 Exp'!$U$28/PI()),(VLOOKUP(A75,[1]!TOX,67,FALSE))*1*0.000001*('GW-1 Exp'!$U$28/(1+$B75)+2*$C75*(1+3*$B75+3*$B75^2)/(1+$B75)^2))</f>
        <v>2.7883639239738171E-7</v>
      </c>
      <c r="AE75" s="839">
        <f>L75*IF('GW-1 Exp'!U$29&lt;=$E75,2*(VLOOKUP(A75,[1]!TOX,67,FALSE))*1*0.000001*SQRT(6*$C75*'GW-1 Exp'!$U$29/PI()),(VLOOKUP(A75,[1]!TOX,67,FALSE))*1*0.000001*('GW-1 Exp'!$U$29/(1+$B75)+2*$C75*(1+3*$B75+3*$B75^2)/(1+$B75)^2))</f>
        <v>3.2388336541280547E-7</v>
      </c>
    </row>
    <row r="76" spans="1:31" ht="20" x14ac:dyDescent="0.25">
      <c r="A76" s="510" t="s">
        <v>225</v>
      </c>
      <c r="B76" s="587">
        <f>(VLOOKUP(A76,[1]!TOX,67,FALSE))*(SQRT((VLOOKUP(A76,[1]!TOX,57,FALSE)))/2.6)</f>
        <v>6.9594215964798437E-2</v>
      </c>
      <c r="C76" s="596">
        <f>('GW-1 Exp'!$O$29^2)/(6*D76)</f>
        <v>4.4817615833820845</v>
      </c>
      <c r="D76" s="486">
        <f>10^(-2.8-(0.0056*(VLOOKUP(A76,[1]!TOX,57,FALSE))))*'GW-1 Exp'!$O$29</f>
        <v>3.7187758332493563E-8</v>
      </c>
      <c r="E76" s="597">
        <f t="shared" si="5"/>
        <v>10.756227800117003</v>
      </c>
      <c r="F76" s="597">
        <f>IF(B76&lt;=0.6,0,(G76-SQRT(G76^2-H76^2))*('GW-1 Exp'!$O$29^2/D76))</f>
        <v>0</v>
      </c>
      <c r="G76" s="582">
        <f t="shared" si="6"/>
        <v>0.34707437267618235</v>
      </c>
      <c r="H76" s="598">
        <f t="shared" si="7"/>
        <v>0.38123888303385045</v>
      </c>
      <c r="I76" s="606">
        <f>IF('GW-1 Exp'!$U$13&lt;=$E76,2*(VLOOKUP(A76,[1]!TOX,67,FALSE))*1*0.000001*SQRT(6*$C76*'GW-1 Exp'!$U$13/PI()),(VLOOKUP(A76,[1]!TOX,67,FALSE))*1*0.000001*('GW-1 Exp'!$U$13/(1+$B76)+2*$C76*(1+3*$B76+3*$B76^2)/(1+$B76)^2))</f>
        <v>4.7789236010586609E-8</v>
      </c>
      <c r="J76" s="607">
        <f>IF('GW-1 Exp'!$U$21&lt;=$E76,2*(VLOOKUP(A76,[1]!TOX,67,FALSE))*1*0.000001*SQRT(6*$C76*'GW-1 Exp'!$U$21/PI()),(VLOOKUP(A76,[1]!TOX,67,FALSE))*1*0.000001*('GW-1 Exp'!$U$21/(1+$B76)+2*$C76*(1+3*$B76+3*$B76^2)/(1+$B76)^2))</f>
        <v>5.4305449842476449E-8</v>
      </c>
      <c r="K76" s="482"/>
      <c r="L76" s="554">
        <v>0.9</v>
      </c>
      <c r="M76" s="481">
        <f t="shared" si="8"/>
        <v>4.3010312409527949E-8</v>
      </c>
      <c r="N76" s="483">
        <f t="shared" si="9"/>
        <v>4.8874904858228805E-8</v>
      </c>
      <c r="O76" s="486" t="str">
        <f>IF(VLOOKUP(A76,[1]!TOX,81,FALSE)="Y","Inorganic",IF(K76="*","Streamlined",IF($E76=0,"Reduced Steady State",IF('GW-1 Exp'!$U$13&lt;=$E76,"Non-Steady State","Steady State"))))</f>
        <v>Non-Steady State</v>
      </c>
      <c r="P76" s="485" t="str">
        <f>IF(VLOOKUP(A76,[1]!TOX,81,FALSE)="Y","Inorganic",IF(K76="*","Streamlined",IF($E76=0,0,IF('GW-1 Exp'!$U$21&lt;=$E76,"Non-Steady State","Steady State"))))</f>
        <v>Non-Steady State</v>
      </c>
      <c r="Q76" s="563">
        <f>IF(K76=0,0,IF((VLOOKUP(A76,[1]!TOX,67,FALSE))=0,0,IF((VLOOKUP(A76,[1]!TOX,67,FALSE))&lt;0.5,0.2,1)))</f>
        <v>0</v>
      </c>
      <c r="R76" s="614">
        <f>IF(K76=0,IF(M76=0,0,('[1]Target Risk'!$D$8*(VLOOKUP(A76,[1]!TOX,4,FALSE))*(VLOOKUP(A76,[1]!TOX,37,FALSE)))/('GW-1 Exp'!$V$13*'GW-1 Derm'!$M76)),('[1]Target Risk'!$D$8*(VLOOKUP(A76,[1]!TOX,4,FALSE))*(VLOOKUP(A76,[1]!TOX,37,FALSE)))/('GW-1 Exp'!$J$18*'GW-1 Derm'!$Q76))</f>
        <v>3.4348436110478415</v>
      </c>
      <c r="S76" s="574">
        <f>IF(OR(VLOOKUP(A76,[1]!TOX,12,FALSE)=0,VLOOKUP(A76,[1]!TOX,38,FALSE)=0),0,IF(K76=0,('[1]Target Risk'!$D$12*(VLOOKUP(A76,[1]!TOX,38,FALSE)))/('GW-1 Exp'!$V$21*'GW-1 Derm'!N76*(VLOOKUP(A76,[1]!TOX,12,FALSE))),IF(Q76=0,0,('[1]Target Risk'!$D$12*(VLOOKUP(A76,[1]!TOX,38,FALSE)))/('GW-1 Exp'!$J$26*'GW-1 Derm'!Q76*(VLOOKUP(A76,[1]!TOX,12,FALSE))))))</f>
        <v>0.11768751348650545</v>
      </c>
      <c r="T76" s="575">
        <f>IF(OR(VLOOKUP(A76,[1]!TOX,12,FALSE)=0,VLOOKUP(A76,[1]!TOX,38,FALSE)=0),0,IF(NOT(VLOOKUP(A76,[1]!TOX,36,FALSE)="M"), IF(K76=0,('[1]Target Risk'!$D$12*(VLOOKUP(A76,[1]!TOX,38,FALSE)))/('GW-1 Exp'!$V$21*'GW-1 Derm'!N76*(VLOOKUP(A76,[1]!TOX,12,FALSE))),IF(Q76=0,0,('[1]Target Risk'!$D$12*(VLOOKUP(A76,[1]!TOX,38,FALSE)))/('GW-1 Exp'!$J$26*'GW-1 Derm'!Q76*(VLOOKUP(A76,[1]!TOX,12,FALSE))))), IF(K76=0,('[1]Target Risk'!$D$12*(VLOOKUP(A76,[1]!TOX,38,FALSE)))/(('GW-1 Exp'!$V$26*'GW-1 Derm'!AB76*(VLOOKUP(A76,[1]!TOX,12,FALSE))*10)+('GW-1 Exp'!$V$27*'GW-1 Derm'!AC76*(VLOOKUP(A76,[1]!TOX,12,FALSE))*3)+('GW-1 Exp'!$V$28*'GW-1 Derm'!AD76*(VLOOKUP(A76,[1]!TOX,12,FALSE))*3)+('GW-1 Exp'!$V$29*'GW-1 Derm'!AE76*(VLOOKUP(A76,[1]!TOX,12,FALSE))*1)),IF(Q76=0,0,(('[1]Target Risk'!$D$12*(VLOOKUP(A76,[1]!TOX,38,FALSE)))/(('GW-1 Exp'!$J$33*'GW-1 Derm'!Q76*(VLOOKUP(A76,[1]!TOX,12,FALSE))*10)+('GW-1 Exp'!$J$34*'GW-1 Derm'!Q76*(VLOOKUP(A76,[1]!TOX,12,FALSE))*3)+('GW-1 Exp'!$J$35*'GW-1 Derm'!Q76*(VLOOKUP(A76,[1]!TOX,12,FALSE))*3)+('GW-1 Exp'!$J$36*'GW-1 Derm'!Q76*(VLOOKUP(A76,[1]!TOX,12,FALSE))*1)))))))</f>
        <v>0.11768751348650545</v>
      </c>
      <c r="AB76" s="838">
        <f>L76*IF('GW-1 Exp'!U$26&lt;=$E76,2*(VLOOKUP(A76,[1]!TOX,67,FALSE))*1*0.000001*SQRT(6*$C76*'GW-1 Exp'!$U$26/PI()),(VLOOKUP(A76,[1]!TOX,67,FALSE))*1*0.000001*('GW-1 Exp'!$U$26/(1+$B76)+2*$C76*(1+3*$B76+3*$B76^2)/(1+$B76)^2))</f>
        <v>4.0151593928942933E-8</v>
      </c>
      <c r="AC76" s="837">
        <f>L76*IF('GW-1 Exp'!U$27&lt;=$E76,2*(VLOOKUP(A76,[1]!TOX,67,FALSE))*1*0.000001*SQRT(6*$C76*'GW-1 Exp'!$U$27/PI()),(VLOOKUP(A76,[1]!TOX,67,FALSE))*1*0.000001*('GW-1 Exp'!$U$27/(1+$B76)+2*$C76*(1+3*$B76+3*$B76^2)/(1+$B76)^2))</f>
        <v>4.356807541958555E-8</v>
      </c>
      <c r="AD76" s="837">
        <f>L76*IF('GW-1 Exp'!U$28&lt;=$E76,2*(VLOOKUP(A76,[1]!TOX,67,FALSE))*1*0.000001*SQRT(6*$C76*'GW-1 Exp'!$U$28/PI()),(VLOOKUP(A76,[1]!TOX,67,FALSE))*1*0.000001*('GW-1 Exp'!$U$28/(1+$B76)+2*$C76*(1+3*$B76+3*$B76^2)/(1+$B76)^2))</f>
        <v>4.5893317754122477E-8</v>
      </c>
      <c r="AE76" s="839">
        <f>L76*IF('GW-1 Exp'!U$29&lt;=$E76,2*(VLOOKUP(A76,[1]!TOX,67,FALSE))*1*0.000001*SQRT(6*$C76*'GW-1 Exp'!$U$29/PI()),(VLOOKUP(A76,[1]!TOX,67,FALSE))*1*0.000001*('GW-1 Exp'!$U$29/(1+$B76)+2*$C76*(1+3*$B76+3*$B76^2)/(1+$B76)^2))</f>
        <v>5.3307540225886285E-8</v>
      </c>
    </row>
    <row r="77" spans="1:31" x14ac:dyDescent="0.25">
      <c r="A77" s="540" t="s">
        <v>226</v>
      </c>
      <c r="B77" s="587">
        <f>(VLOOKUP(A77,[1]!TOX,67,FALSE))*(SQRT((VLOOKUP(A77,[1]!TOX,57,FALSE)))/2.6)</f>
        <v>0.23856175719118106</v>
      </c>
      <c r="C77" s="596">
        <f>('GW-1 Exp'!$O$29^2)/(6*D77)</f>
        <v>2.2338229556971854</v>
      </c>
      <c r="D77" s="486">
        <f>10^(-2.8-(0.0056*(VLOOKUP(A77,[1]!TOX,57,FALSE))))*'GW-1 Exp'!$O$29</f>
        <v>7.461050851930622E-8</v>
      </c>
      <c r="E77" s="597">
        <f t="shared" si="5"/>
        <v>5.3611750936732445</v>
      </c>
      <c r="F77" s="597">
        <f>IF(B77&lt;=0.6,0,(G77-SQRT(G77^2-H77^2))*('GW-1 Exp'!$O$29^2/D77))</f>
        <v>0</v>
      </c>
      <c r="G77" s="582">
        <f t="shared" si="6"/>
        <v>0.46890603918626883</v>
      </c>
      <c r="H77" s="598">
        <f t="shared" si="7"/>
        <v>0.50769111743339368</v>
      </c>
      <c r="I77" s="606">
        <f>IF('GW-1 Exp'!$U$13&lt;=$E77,2*(VLOOKUP(A77,[1]!TOX,67,FALSE))*1*0.000001*SQRT(6*$C77*'GW-1 Exp'!$U$13/PI()),(VLOOKUP(A77,[1]!TOX,67,FALSE))*1*0.000001*('GW-1 Exp'!$U$13/(1+$B77)+2*$C77*(1+3*$B77+3*$B77^2)/(1+$B77)^2))</f>
        <v>1.281533866781657E-7</v>
      </c>
      <c r="J77" s="607">
        <f>IF('GW-1 Exp'!$U$21&lt;=$E77,2*(VLOOKUP(A77,[1]!TOX,67,FALSE))*1*0.000001*SQRT(6*$C77*'GW-1 Exp'!$U$21/PI()),(VLOOKUP(A77,[1]!TOX,67,FALSE))*1*0.000001*('GW-1 Exp'!$U$21/(1+$B77)+2*$C77*(1+3*$B77+3*$B77^2)/(1+$B77)^2))</f>
        <v>1.4562750722470047E-7</v>
      </c>
      <c r="K77" s="482"/>
      <c r="L77" s="554">
        <v>1</v>
      </c>
      <c r="M77" s="481">
        <f t="shared" si="8"/>
        <v>1.281533866781657E-7</v>
      </c>
      <c r="N77" s="483">
        <f t="shared" si="9"/>
        <v>1.4562750722470047E-7</v>
      </c>
      <c r="O77" s="486" t="str">
        <f>IF(VLOOKUP(A77,[1]!TOX,81,FALSE)="Y","Inorganic",IF(K77="*","Streamlined",IF($E77=0,"Reduced Steady State",IF('GW-1 Exp'!$U$13&lt;=$E77,"Non-Steady State","Steady State"))))</f>
        <v>Non-Steady State</v>
      </c>
      <c r="P77" s="485" t="str">
        <f>IF(VLOOKUP(A77,[1]!TOX,81,FALSE)="Y","Inorganic",IF(K77="*","Streamlined",IF($E77=0,0,IF('GW-1 Exp'!$U$21&lt;=$E77,"Non-Steady State","Steady State"))))</f>
        <v>Non-Steady State</v>
      </c>
      <c r="Q77" s="563">
        <f>IF(K77=0,0,IF((VLOOKUP(A77,[1]!TOX,67,FALSE))=0,0,IF((VLOOKUP(A77,[1]!TOX,67,FALSE))&lt;0.5,0.2,1)))</f>
        <v>0</v>
      </c>
      <c r="R77" s="614">
        <f>IF(K77=0,IF(M77=0,0,('[1]Target Risk'!$D$8*(VLOOKUP(A77,[1]!TOX,4,FALSE))*(VLOOKUP(A77,[1]!TOX,37,FALSE)))/('GW-1 Exp'!$V$13*'GW-1 Derm'!$M77)),('[1]Target Risk'!$D$8*(VLOOKUP(A77,[1]!TOX,4,FALSE))*(VLOOKUP(A77,[1]!TOX,37,FALSE)))/('GW-1 Exp'!$J$18*'GW-1 Derm'!$Q77))</f>
        <v>2.6898388572446104</v>
      </c>
      <c r="S77" s="574">
        <f>IF(OR(VLOOKUP(A77,[1]!TOX,12,FALSE)=0,VLOOKUP(A77,[1]!TOX,38,FALSE)=0),0,IF(K77=0,('[1]Target Risk'!$D$12*(VLOOKUP(A77,[1]!TOX,38,FALSE)))/('GW-1 Exp'!$V$21*'GW-1 Derm'!N77*(VLOOKUP(A77,[1]!TOX,12,FALSE))),IF(Q77=0,0,('[1]Target Risk'!$D$12*(VLOOKUP(A77,[1]!TOX,38,FALSE)))/('GW-1 Exp'!$J$26*'GW-1 Derm'!Q77*(VLOOKUP(A77,[1]!TOX,12,FALSE))))))</f>
        <v>1.2836784709418068</v>
      </c>
      <c r="T77" s="575">
        <f>IF(OR(VLOOKUP(A77,[1]!TOX,12,FALSE)=0,VLOOKUP(A77,[1]!TOX,38,FALSE)=0),0,IF(NOT(VLOOKUP(A77,[1]!TOX,36,FALSE)="M"), IF(K77=0,('[1]Target Risk'!$D$12*(VLOOKUP(A77,[1]!TOX,38,FALSE)))/('GW-1 Exp'!$V$21*'GW-1 Derm'!N77*(VLOOKUP(A77,[1]!TOX,12,FALSE))),IF(Q77=0,0,('[1]Target Risk'!$D$12*(VLOOKUP(A77,[1]!TOX,38,FALSE)))/('GW-1 Exp'!$J$26*'GW-1 Derm'!Q77*(VLOOKUP(A77,[1]!TOX,12,FALSE))))), IF(K77=0,('[1]Target Risk'!$D$12*(VLOOKUP(A77,[1]!TOX,38,FALSE)))/(('GW-1 Exp'!$V$26*'GW-1 Derm'!AB77*(VLOOKUP(A77,[1]!TOX,12,FALSE))*10)+('GW-1 Exp'!$V$27*'GW-1 Derm'!AC77*(VLOOKUP(A77,[1]!TOX,12,FALSE))*3)+('GW-1 Exp'!$V$28*'GW-1 Derm'!AD77*(VLOOKUP(A77,[1]!TOX,12,FALSE))*3)+('GW-1 Exp'!$V$29*'GW-1 Derm'!AE77*(VLOOKUP(A77,[1]!TOX,12,FALSE))*1)),IF(Q77=0,0,(('[1]Target Risk'!$D$12*(VLOOKUP(A77,[1]!TOX,38,FALSE)))/(('GW-1 Exp'!$J$33*'GW-1 Derm'!Q77*(VLOOKUP(A77,[1]!TOX,12,FALSE))*10)+('GW-1 Exp'!$J$34*'GW-1 Derm'!Q77*(VLOOKUP(A77,[1]!TOX,12,FALSE))*3)+('GW-1 Exp'!$J$35*'GW-1 Derm'!Q77*(VLOOKUP(A77,[1]!TOX,12,FALSE))*3)+('GW-1 Exp'!$J$36*'GW-1 Derm'!Q77*(VLOOKUP(A77,[1]!TOX,12,FALSE))*1)))))))</f>
        <v>1.2836784709418068</v>
      </c>
      <c r="AB77" s="838">
        <f>L77*IF('GW-1 Exp'!U$26&lt;=$E77,2*(VLOOKUP(A77,[1]!TOX,67,FALSE))*1*0.000001*SQRT(6*$C77*'GW-1 Exp'!$U$26/PI()),(VLOOKUP(A77,[1]!TOX,67,FALSE))*1*0.000001*('GW-1 Exp'!$U$26/(1+$B77)+2*$C77*(1+3*$B77+3*$B77^2)/(1+$B77)^2))</f>
        <v>1.1963555841042048E-7</v>
      </c>
      <c r="AC77" s="837">
        <f>L77*IF('GW-1 Exp'!U$27&lt;=$E77,2*(VLOOKUP(A77,[1]!TOX,67,FALSE))*1*0.000001*SQRT(6*$C77*'GW-1 Exp'!$U$27/PI()),(VLOOKUP(A77,[1]!TOX,67,FALSE))*1*0.000001*('GW-1 Exp'!$U$27/(1+$B77)+2*$C77*(1+3*$B77+3*$B77^2)/(1+$B77)^2))</f>
        <v>1.2981529552509736E-7</v>
      </c>
      <c r="AD77" s="837">
        <f>L77*IF('GW-1 Exp'!U$28&lt;=$E77,2*(VLOOKUP(A77,[1]!TOX,67,FALSE))*1*0.000001*SQRT(6*$C77*'GW-1 Exp'!$U$28/PI()),(VLOOKUP(A77,[1]!TOX,67,FALSE))*1*0.000001*('GW-1 Exp'!$U$28/(1+$B77)+2*$C77*(1+3*$B77+3*$B77^2)/(1+$B77)^2))</f>
        <v>1.3674358000675901E-7</v>
      </c>
      <c r="AE77" s="839">
        <f>L77*IF('GW-1 Exp'!U$29&lt;=$E77,2*(VLOOKUP(A77,[1]!TOX,67,FALSE))*1*0.000001*SQRT(6*$C77*'GW-1 Exp'!$U$29/PI()),(VLOOKUP(A77,[1]!TOX,67,FALSE))*1*0.000001*('GW-1 Exp'!$U$29/(1+$B77)+2*$C77*(1+3*$B77+3*$B77^2)/(1+$B77)^2))</f>
        <v>1.5883497311952812E-7</v>
      </c>
    </row>
    <row r="78" spans="1:31" x14ac:dyDescent="0.25">
      <c r="A78" s="540" t="s">
        <v>432</v>
      </c>
      <c r="B78" s="587">
        <f>(VLOOKUP(A78,[1]!TOX,67,FALSE))*(SQRT((VLOOKUP(A78,[1]!TOX,57,FALSE)))/2.6)</f>
        <v>2.9356155474560553E-4</v>
      </c>
      <c r="C78" s="596">
        <f>('GW-1 Exp'!$O$29^2)/(6*D78)</f>
        <v>4.7925731421909532</v>
      </c>
      <c r="D78" s="486">
        <f>10^(-2.8-(0.0056*(VLOOKUP(A78,[1]!TOX,57,FALSE))))*'GW-1 Exp'!$O$29</f>
        <v>3.4776029853239547E-8</v>
      </c>
      <c r="E78" s="597">
        <f t="shared" si="5"/>
        <v>11.502175541258287</v>
      </c>
      <c r="F78" s="597">
        <f>IF(B78&lt;=0.6,0,(G78-SQRT(G78^2-H78^2))*('GW-1 Exp'!$O$29^2/D78))</f>
        <v>0</v>
      </c>
      <c r="G78" s="582">
        <f t="shared" si="6"/>
        <v>0.30346453165656673</v>
      </c>
      <c r="H78" s="598">
        <f t="shared" si="7"/>
        <v>0.3335290697541955</v>
      </c>
      <c r="I78" s="606">
        <f>IF('GW-1 Exp'!$U$13&lt;=$E78,2*(VLOOKUP(A78,[1]!TOX,67,FALSE))*1*0.000001*SQRT(6*$C78*'GW-1 Exp'!$U$13/PI()),(VLOOKUP(A78,[1]!TOX,67,FALSE))*1*0.000001*('GW-1 Exp'!$U$13/(1+$B78)+2*$C78*(1+3*$B78+3*$B78^2)/(1+$B78)^2))</f>
        <v>2.0661892024467054E-10</v>
      </c>
      <c r="J78" s="607">
        <f>IF('GW-1 Exp'!$U$21&lt;=$E78,2*(VLOOKUP(A78,[1]!TOX,67,FALSE))*1*0.000001*SQRT(6*$C78*'GW-1 Exp'!$U$21/PI()),(VLOOKUP(A78,[1]!TOX,67,FALSE))*1*0.000001*('GW-1 Exp'!$U$21/(1+$B78)+2*$C78*(1+3*$B78+3*$B78^2)/(1+$B78)^2))</f>
        <v>2.3479206504510654E-10</v>
      </c>
      <c r="K78" s="482"/>
      <c r="L78" s="554">
        <v>1</v>
      </c>
      <c r="M78" s="481">
        <f t="shared" si="8"/>
        <v>2.0661892024467054E-10</v>
      </c>
      <c r="N78" s="483">
        <f t="shared" si="9"/>
        <v>2.3479206504510654E-10</v>
      </c>
      <c r="O78" s="486" t="str">
        <f>IF(VLOOKUP(A78,[1]!TOX,81,FALSE)="Y","Inorganic",IF(K78="*","Streamlined",IF($E78=0,"Reduced Steady State",IF('GW-1 Exp'!$U$13&lt;=$E78,"Non-Steady State","Steady State"))))</f>
        <v>Non-Steady State</v>
      </c>
      <c r="P78" s="485" t="str">
        <f>IF(VLOOKUP(A78,[1]!TOX,81,FALSE)="Y","Inorganic",IF(K78="*","Streamlined",IF($E78=0,0,IF('GW-1 Exp'!$U$21&lt;=$E78,"Non-Steady State","Steady State"))))</f>
        <v>Non-Steady State</v>
      </c>
      <c r="Q78" s="563">
        <f>IF(K78=0,0,IF((VLOOKUP(A78,[1]!TOX,67,FALSE))=0,0,IF((VLOOKUP(A78,[1]!TOX,67,FALSE))&lt;0.5,0.2,1)))</f>
        <v>0</v>
      </c>
      <c r="R78" s="614">
        <f>IF(K78=0,IF(M78=0,0,('[1]Target Risk'!$D$8*(VLOOKUP(A78,[1]!TOX,4,FALSE))*(VLOOKUP(A78,[1]!TOX,37,FALSE)))/('GW-1 Exp'!$V$13*'GW-1 Derm'!$M78)),('[1]Target Risk'!$D$8*(VLOOKUP(A78,[1]!TOX,4,FALSE))*(VLOOKUP(A78,[1]!TOX,37,FALSE)))/('GW-1 Exp'!$J$18*'GW-1 Derm'!$Q78))</f>
        <v>35750.282842950204</v>
      </c>
      <c r="S78" s="574">
        <f>IF(OR(VLOOKUP(A78,[1]!TOX,12,FALSE)=0,VLOOKUP(A78,[1]!TOX,38,FALSE)=0),0,IF(K78=0,('[1]Target Risk'!$D$12*(VLOOKUP(A78,[1]!TOX,38,FALSE)))/('GW-1 Exp'!$V$21*'GW-1 Derm'!N78*(VLOOKUP(A78,[1]!TOX,12,FALSE))),IF(Q78=0,0,('[1]Target Risk'!$D$12*(VLOOKUP(A78,[1]!TOX,38,FALSE)))/('GW-1 Exp'!$J$26*'GW-1 Derm'!Q78*(VLOOKUP(A78,[1]!TOX,12,FALSE))))))</f>
        <v>0</v>
      </c>
      <c r="T78" s="575">
        <f>IF(OR(VLOOKUP(A78,[1]!TOX,12,FALSE)=0,VLOOKUP(A78,[1]!TOX,38,FALSE)=0),0,IF(NOT(VLOOKUP(A78,[1]!TOX,36,FALSE)="M"), IF(K78=0,('[1]Target Risk'!$D$12*(VLOOKUP(A78,[1]!TOX,38,FALSE)))/('GW-1 Exp'!$V$21*'GW-1 Derm'!N78*(VLOOKUP(A78,[1]!TOX,12,FALSE))),IF(Q78=0,0,('[1]Target Risk'!$D$12*(VLOOKUP(A78,[1]!TOX,38,FALSE)))/('GW-1 Exp'!$J$26*'GW-1 Derm'!Q78*(VLOOKUP(A78,[1]!TOX,12,FALSE))))), IF(K78=0,('[1]Target Risk'!$D$12*(VLOOKUP(A78,[1]!TOX,38,FALSE)))/(('GW-1 Exp'!$V$26*'GW-1 Derm'!AB78*(VLOOKUP(A78,[1]!TOX,12,FALSE))*10)+('GW-1 Exp'!$V$27*'GW-1 Derm'!AC78*(VLOOKUP(A78,[1]!TOX,12,FALSE))*3)+('GW-1 Exp'!$V$28*'GW-1 Derm'!AD78*(VLOOKUP(A78,[1]!TOX,12,FALSE))*3)+('GW-1 Exp'!$V$29*'GW-1 Derm'!AE78*(VLOOKUP(A78,[1]!TOX,12,FALSE))*1)),IF(Q78=0,0,(('[1]Target Risk'!$D$12*(VLOOKUP(A78,[1]!TOX,38,FALSE)))/(('GW-1 Exp'!$J$33*'GW-1 Derm'!Q78*(VLOOKUP(A78,[1]!TOX,12,FALSE))*10)+('GW-1 Exp'!$J$34*'GW-1 Derm'!Q78*(VLOOKUP(A78,[1]!TOX,12,FALSE))*3)+('GW-1 Exp'!$J$35*'GW-1 Derm'!Q78*(VLOOKUP(A78,[1]!TOX,12,FALSE))*3)+('GW-1 Exp'!$J$36*'GW-1 Derm'!Q78*(VLOOKUP(A78,[1]!TOX,12,FALSE))*1)))))))</f>
        <v>0</v>
      </c>
      <c r="AB78" s="838">
        <f>L78*IF('GW-1 Exp'!U$26&lt;=$E78,2*(VLOOKUP(A78,[1]!TOX,67,FALSE))*1*0.000001*SQRT(6*$C78*'GW-1 Exp'!$U$26/PI()),(VLOOKUP(A78,[1]!TOX,67,FALSE))*1*0.000001*('GW-1 Exp'!$U$26/(1+$B78)+2*$C78*(1+3*$B78+3*$B78^2)/(1+$B78)^2))</f>
        <v>1.9288581084249117E-10</v>
      </c>
      <c r="AC78" s="837">
        <f>L78*IF('GW-1 Exp'!U$27&lt;=$E78,2*(VLOOKUP(A78,[1]!TOX,67,FALSE))*1*0.000001*SQRT(6*$C78*'GW-1 Exp'!$U$27/PI()),(VLOOKUP(A78,[1]!TOX,67,FALSE))*1*0.000001*('GW-1 Exp'!$U$27/(1+$B78)+2*$C78*(1+3*$B78+3*$B78^2)/(1+$B78)^2))</f>
        <v>2.092983797611048E-10</v>
      </c>
      <c r="AD78" s="837">
        <f>L78*IF('GW-1 Exp'!U$28&lt;=$E78,2*(VLOOKUP(A78,[1]!TOX,67,FALSE))*1*0.000001*SQRT(6*$C78*'GW-1 Exp'!$U$28/PI()),(VLOOKUP(A78,[1]!TOX,67,FALSE))*1*0.000001*('GW-1 Exp'!$U$28/(1+$B78)+2*$C78*(1+3*$B78+3*$B78^2)/(1+$B78)^2))</f>
        <v>2.2046870226177989E-10</v>
      </c>
      <c r="AE78" s="839">
        <f>L78*IF('GW-1 Exp'!U$29&lt;=$E78,2*(VLOOKUP(A78,[1]!TOX,67,FALSE))*1*0.000001*SQRT(6*$C78*'GW-1 Exp'!$U$29/PI()),(VLOOKUP(A78,[1]!TOX,67,FALSE))*1*0.000001*('GW-1 Exp'!$U$29/(1+$B78)+2*$C78*(1+3*$B78+3*$B78^2)/(1+$B78)^2))</f>
        <v>2.5608617527576921E-10</v>
      </c>
    </row>
    <row r="79" spans="1:31" x14ac:dyDescent="0.25">
      <c r="A79" s="540" t="s">
        <v>227</v>
      </c>
      <c r="B79" s="587">
        <f>(VLOOKUP(A79,[1]!TOX,67,FALSE))*(SQRT((VLOOKUP(A79,[1]!TOX,57,FALSE)))/2.6)</f>
        <v>7.6187056185368247</v>
      </c>
      <c r="C79" s="596">
        <f>('GW-1 Exp'!$O$29^2)/(6*D79)</f>
        <v>3.6935905432662053</v>
      </c>
      <c r="D79" s="486">
        <f>10^(-2.8-(0.0056*(VLOOKUP(A79,[1]!TOX,57,FALSE))))*'GW-1 Exp'!$O$29</f>
        <v>4.5123211334433672E-8</v>
      </c>
      <c r="E79" s="597">
        <f t="shared" si="5"/>
        <v>16.549883258372443</v>
      </c>
      <c r="F79" s="597">
        <f>IF(B79&lt;=0.6,0,(G79-SQRT(G79^2-H79^2))*('GW-1 Exp'!$O$29^2/D79))</f>
        <v>16.549883258372443</v>
      </c>
      <c r="G79" s="582">
        <f t="shared" si="6"/>
        <v>39.632063837128321</v>
      </c>
      <c r="H79" s="598">
        <f t="shared" si="7"/>
        <v>7.657381186317723</v>
      </c>
      <c r="I79" s="606">
        <f>IF('GW-1 Exp'!$U$13&lt;=$E79,2*(VLOOKUP(A79,[1]!TOX,67,FALSE))*1*0.000001*SQRT(6*$C79*'GW-1 Exp'!$U$13/PI()),(VLOOKUP(A79,[1]!TOX,67,FALSE))*1*0.000001*('GW-1 Exp'!$U$13/(1+$B79)+2*$C79*(1+3*$B79+3*$B79^2)/(1+$B79)^2))</f>
        <v>4.8767454524675084E-6</v>
      </c>
      <c r="J79" s="607">
        <f>IF('GW-1 Exp'!$U$21&lt;=$E79,2*(VLOOKUP(A79,[1]!TOX,67,FALSE))*1*0.000001*SQRT(6*$C79*'GW-1 Exp'!$U$21/PI()),(VLOOKUP(A79,[1]!TOX,67,FALSE))*1*0.000001*('GW-1 Exp'!$U$21/(1+$B79)+2*$C79*(1+3*$B79+3*$B79^2)/(1+$B79)^2))</f>
        <v>5.5417051552117633E-6</v>
      </c>
      <c r="K79" s="482" t="s">
        <v>91</v>
      </c>
      <c r="L79" s="554">
        <v>0.6</v>
      </c>
      <c r="M79" s="481">
        <f t="shared" si="8"/>
        <v>2.9260472714805049E-6</v>
      </c>
      <c r="N79" s="483">
        <f t="shared" si="9"/>
        <v>3.3250230931270581E-6</v>
      </c>
      <c r="O79" s="486" t="str">
        <f>IF(VLOOKUP(A79,[1]!TOX,81,FALSE)="Y","Inorganic",IF(K79="*","Streamlined",IF($E79=0,"Reduced Steady State",IF('GW-1 Exp'!$U$13&lt;=$E79,"Non-Steady State","Steady State"))))</f>
        <v>Streamlined</v>
      </c>
      <c r="P79" s="485" t="str">
        <f>IF(VLOOKUP(A79,[1]!TOX,81,FALSE)="Y","Inorganic",IF(K79="*","Streamlined",IF($E79=0,0,IF('GW-1 Exp'!$U$21&lt;=$E79,"Non-Steady State","Steady State"))))</f>
        <v>Streamlined</v>
      </c>
      <c r="Q79" s="563">
        <f>IF(K79=0,0,IF((VLOOKUP(A79,[1]!TOX,67,FALSE))=0,0,IF((VLOOKUP(A79,[1]!TOX,67,FALSE))&lt;0.5,0.2,1)))</f>
        <v>1</v>
      </c>
      <c r="R79" s="614">
        <f>IF(K79=0,IF(M79=0,0,('[1]Target Risk'!$D$8*(VLOOKUP(A79,[1]!TOX,4,FALSE))*(VLOOKUP(A79,[1]!TOX,37,FALSE)))/('GW-1 Exp'!$V$13*'GW-1 Derm'!$M79)),('[1]Target Risk'!$D$8*(VLOOKUP(A79,[1]!TOX,4,FALSE))*(VLOOKUP(A79,[1]!TOX,37,FALSE)))/('GW-1 Exp'!$J$18*'GW-1 Derm'!$Q79))</f>
        <v>89.531291208791231</v>
      </c>
      <c r="S79" s="757">
        <f>IF(OR(VLOOKUP(A79,[1]!TOX,12,FALSE)=0,VLOOKUP(A79,[1]!TOX,38,FALSE)=0),0,IF(K79=0,('[1]Target Risk'!$D$12*(VLOOKUP(A79,[1]!TOX,38,FALSE)))/('GW-1 Exp'!$V$21*'GW-1 Derm'!N79*(VLOOKUP(A79,[1]!TOX,12,FALSE))),IF(Q79=0,0,('[1]Target Risk'!$D$12*(VLOOKUP(A79,[1]!TOX,38,FALSE)))/('GW-1 Exp'!$J$26*'GW-1 Derm'!Q79*(VLOOKUP(A79,[1]!TOX,12,FALSE))))))</f>
        <v>0.50841242809851983</v>
      </c>
      <c r="T79" s="575">
        <f>IF(OR(VLOOKUP(A79,[1]!TOX,12,FALSE)=0,VLOOKUP(A79,[1]!TOX,38,FALSE)=0),0,IF(NOT(VLOOKUP(A79,[1]!TOX,36,FALSE)="M"), IF(K79=0,('[1]Target Risk'!$D$12*(VLOOKUP(A79,[1]!TOX,38,FALSE)))/('GW-1 Exp'!$V$21*'GW-1 Derm'!N79*(VLOOKUP(A79,[1]!TOX,12,FALSE))),IF(Q79=0,0,('[1]Target Risk'!$D$12*(VLOOKUP(A79,[1]!TOX,38,FALSE)))/('GW-1 Exp'!$J$26*'GW-1 Derm'!Q79*(VLOOKUP(A79,[1]!TOX,12,FALSE))))), IF(K79=0,('[1]Target Risk'!$D$12*(VLOOKUP(A79,[1]!TOX,38,FALSE)))/(('GW-1 Exp'!$V$26*'GW-1 Derm'!AB79*(VLOOKUP(A79,[1]!TOX,12,FALSE))*10)+('GW-1 Exp'!$V$27*'GW-1 Derm'!AC79*(VLOOKUP(A79,[1]!TOX,12,FALSE))*3)+('GW-1 Exp'!$V$28*'GW-1 Derm'!AD79*(VLOOKUP(A79,[1]!TOX,12,FALSE))*3)+('GW-1 Exp'!$V$29*'GW-1 Derm'!AE79*(VLOOKUP(A79,[1]!TOX,12,FALSE))*1)),IF(Q79=0,0,(('[1]Target Risk'!$D$12*(VLOOKUP(A79,[1]!TOX,38,FALSE)))/(('GW-1 Exp'!$J$33*'GW-1 Derm'!Q79*(VLOOKUP(A79,[1]!TOX,12,FALSE))*10)+('GW-1 Exp'!$J$34*'GW-1 Derm'!Q79*(VLOOKUP(A79,[1]!TOX,12,FALSE))*3)+('GW-1 Exp'!$J$35*'GW-1 Derm'!Q79*(VLOOKUP(A79,[1]!TOX,12,FALSE))*3)+('GW-1 Exp'!$J$36*'GW-1 Derm'!Q79*(VLOOKUP(A79,[1]!TOX,12,FALSE))*1)))))))</f>
        <v>0.14050197834167966</v>
      </c>
      <c r="AB79" s="838">
        <f>L79*IF('GW-1 Exp'!U$26&lt;=$E79,2*(VLOOKUP(A79,[1]!TOX,67,FALSE))*1*0.000001*SQRT(6*$C79*'GW-1 Exp'!$U$26/PI()),(VLOOKUP(A79,[1]!TOX,67,FALSE))*1*0.000001*('GW-1 Exp'!$U$26/(1+$B79)+2*$C79*(1+3*$B79+3*$B79^2)/(1+$B79)^2))</f>
        <v>2.7315649498828214E-6</v>
      </c>
      <c r="AC79" s="837">
        <f>L79*IF('GW-1 Exp'!U$27&lt;=$E79,2*(VLOOKUP(A79,[1]!TOX,67,FALSE))*1*0.000001*SQRT(6*$C79*'GW-1 Exp'!$U$27/PI()),(VLOOKUP(A79,[1]!TOX,67,FALSE))*1*0.000001*('GW-1 Exp'!$U$27/(1+$B79)+2*$C79*(1+3*$B79+3*$B79^2)/(1+$B79)^2))</f>
        <v>2.9639926116159618E-6</v>
      </c>
      <c r="AD79" s="837">
        <f>L79*IF('GW-1 Exp'!U$28&lt;=$E79,2*(VLOOKUP(A79,[1]!TOX,67,FALSE))*1*0.000001*SQRT(6*$C79*'GW-1 Exp'!$U$28/PI()),(VLOOKUP(A79,[1]!TOX,67,FALSE))*1*0.000001*('GW-1 Exp'!$U$28/(1+$B79)+2*$C79*(1+3*$B79+3*$B79^2)/(1+$B79)^2))</f>
        <v>3.1221818598994853E-6</v>
      </c>
      <c r="AE79" s="839">
        <f>L79*IF('GW-1 Exp'!U$29&lt;=$E79,2*(VLOOKUP(A79,[1]!TOX,67,FALSE))*1*0.000001*SQRT(6*$C79*'GW-1 Exp'!$U$29/PI()),(VLOOKUP(A79,[1]!TOX,67,FALSE))*1*0.000001*('GW-1 Exp'!$U$29/(1+$B79)+2*$C79*(1+3*$B79+3*$B79^2)/(1+$B79)^2))</f>
        <v>3.6265810195030796E-6</v>
      </c>
    </row>
    <row r="80" spans="1:31" x14ac:dyDescent="0.25">
      <c r="A80" s="541" t="s">
        <v>228</v>
      </c>
      <c r="B80" s="587">
        <f>(VLOOKUP(A80,[1]!TOX,67,FALSE))*(SQRT((VLOOKUP(A80,[1]!TOX,57,FALSE)))/2.6)</f>
        <v>5.5336517576685224E-4</v>
      </c>
      <c r="C80" s="596">
        <f>('GW-1 Exp'!$O$29^2)/(6*D80)</f>
        <v>1.5172206661331837</v>
      </c>
      <c r="D80" s="486">
        <f>10^(-2.8-(0.0056*(VLOOKUP(A80,[1]!TOX,57,FALSE))))*'GW-1 Exp'!$O$29</f>
        <v>1.0984998450583748E-7</v>
      </c>
      <c r="E80" s="597">
        <f t="shared" si="5"/>
        <v>3.6413295987196408</v>
      </c>
      <c r="F80" s="597">
        <f>IF(B80&lt;=0.6,0,(G80-SQRT(G80^2-H80^2))*('GW-1 Exp'!$O$29^2/D80))</f>
        <v>0</v>
      </c>
      <c r="G80" s="582">
        <f t="shared" si="6"/>
        <v>0.30362218826824278</v>
      </c>
      <c r="H80" s="598">
        <f t="shared" si="7"/>
        <v>0.33370234546506589</v>
      </c>
      <c r="I80" s="854">
        <f>(VLOOKUP(A80,[1]!TOX,67,FALSE))*1*0.000001*'GW-1 Exp'!$U$13</f>
        <v>5.9285714285714288E-11</v>
      </c>
      <c r="J80" s="855">
        <f>(VLOOKUP(A80,[1]!TOX,67,FALSE))*1*0.000001*'GW-1 Exp'!$U$21</f>
        <v>7.6555555555555558E-11</v>
      </c>
      <c r="K80" s="482"/>
      <c r="L80" s="554">
        <v>1</v>
      </c>
      <c r="M80" s="481">
        <f t="shared" si="8"/>
        <v>5.9285714285714288E-11</v>
      </c>
      <c r="N80" s="483">
        <f t="shared" si="9"/>
        <v>7.6555555555555558E-11</v>
      </c>
      <c r="O80" s="486" t="str">
        <f>IF(VLOOKUP(A80,[1]!TOX,81,FALSE)="Y","Inorganic",IF(K80="*","Streamlined",IF($E80=0,"Reduced Steady State",IF('GW-1 Exp'!$U$13&lt;=$E80,"Non-Steady State","Steady State"))))</f>
        <v>Inorganic</v>
      </c>
      <c r="P80" s="485" t="str">
        <f>IF(VLOOKUP(A80,[1]!TOX,81,FALSE)="Y","Inorganic",IF(K80="*","Streamlined",IF($E80=0,0,IF('GW-1 Exp'!$U$21&lt;=$E80,"Non-Steady State","Steady State"))))</f>
        <v>Inorganic</v>
      </c>
      <c r="Q80" s="563">
        <f>IF(K80=0,0,IF((VLOOKUP(A80,[1]!TOX,67,FALSE))=0,0,IF((VLOOKUP(A80,[1]!TOX,67,FALSE))&lt;0.5,0.2,1)))</f>
        <v>0</v>
      </c>
      <c r="R80" s="614">
        <f>IF(K80=0,IF(M80=0,0,('[1]Target Risk'!$D$8*(VLOOKUP(A80,[1]!TOX,4,FALSE))*(VLOOKUP(A80,[1]!TOX,37,FALSE)))/('GW-1 Exp'!$V$13*'GW-1 Derm'!$M80)),('[1]Target Risk'!$D$8*(VLOOKUP(A80,[1]!TOX,4,FALSE))*(VLOOKUP(A80,[1]!TOX,37,FALSE)))/('GW-1 Exp'!$J$18*'GW-1 Derm'!$Q80))</f>
        <v>3114.86710097371</v>
      </c>
      <c r="S80" s="574">
        <f>IF(OR(VLOOKUP(A80,[1]!TOX,12,FALSE)=0,VLOOKUP(A80,[1]!TOX,38,FALSE)=0),0,IF(K80=0,('[1]Target Risk'!$D$12*(VLOOKUP(A80,[1]!TOX,38,FALSE)))/('GW-1 Exp'!$V$21*'GW-1 Derm'!N80*(VLOOKUP(A80,[1]!TOX,12,FALSE))),IF(Q80=0,0,('[1]Target Risk'!$D$12*(VLOOKUP(A80,[1]!TOX,38,FALSE)))/('GW-1 Exp'!$J$26*'GW-1 Derm'!Q80*(VLOOKUP(A80,[1]!TOX,12,FALSE))))))</f>
        <v>0</v>
      </c>
      <c r="T80" s="575">
        <f>IF(OR(VLOOKUP(A80,[1]!TOX,12,FALSE)=0,VLOOKUP(A80,[1]!TOX,38,FALSE)=0),0,IF(NOT(VLOOKUP(A80,[1]!TOX,36,FALSE)="M"), IF(K80=0,('[1]Target Risk'!$D$12*(VLOOKUP(A80,[1]!TOX,38,FALSE)))/('GW-1 Exp'!$V$21*'GW-1 Derm'!N80*(VLOOKUP(A80,[1]!TOX,12,FALSE))),IF(Q80=0,0,('[1]Target Risk'!$D$12*(VLOOKUP(A80,[1]!TOX,38,FALSE)))/('GW-1 Exp'!$J$26*'GW-1 Derm'!Q80*(VLOOKUP(A80,[1]!TOX,12,FALSE))))), IF(K80=0,('[1]Target Risk'!$D$12*(VLOOKUP(A80,[1]!TOX,38,FALSE)))/(('GW-1 Exp'!$V$26*'GW-1 Derm'!AB80*(VLOOKUP(A80,[1]!TOX,12,FALSE))*10)+('GW-1 Exp'!$V$27*'GW-1 Derm'!AC80*(VLOOKUP(A80,[1]!TOX,12,FALSE))*3)+('GW-1 Exp'!$V$28*'GW-1 Derm'!AD80*(VLOOKUP(A80,[1]!TOX,12,FALSE))*3)+('GW-1 Exp'!$V$29*'GW-1 Derm'!AE80*(VLOOKUP(A80,[1]!TOX,12,FALSE))*1)),IF(Q80=0,0,(('[1]Target Risk'!$D$12*(VLOOKUP(A80,[1]!TOX,38,FALSE)))/(('GW-1 Exp'!$J$33*'GW-1 Derm'!Q80*(VLOOKUP(A80,[1]!TOX,12,FALSE))*10)+('GW-1 Exp'!$J$34*'GW-1 Derm'!Q80*(VLOOKUP(A80,[1]!TOX,12,FALSE))*3)+('GW-1 Exp'!$J$35*'GW-1 Derm'!Q80*(VLOOKUP(A80,[1]!TOX,12,FALSE))*3)+('GW-1 Exp'!$J$36*'GW-1 Derm'!Q80*(VLOOKUP(A80,[1]!TOX,12,FALSE))*1)))))))</f>
        <v>0</v>
      </c>
      <c r="AB80" s="838">
        <f>L80*IF('GW-1 Exp'!U$26&lt;=$E80,2*(VLOOKUP(A80,[1]!TOX,67,FALSE))*1*0.000001*SQRT(6*$C80*'GW-1 Exp'!$U$26/PI()),(VLOOKUP(A80,[1]!TOX,67,FALSE))*1*0.000001*('GW-1 Exp'!$U$26/(1+$B80)+2*$C80*(1+3*$B80+3*$B80^2)/(1+$B80)^2))</f>
        <v>2.4471482557564033E-10</v>
      </c>
      <c r="AC80" s="837">
        <f>L80*IF('GW-1 Exp'!U$27&lt;=$E80,2*(VLOOKUP(A80,[1]!TOX,67,FALSE))*1*0.000001*SQRT(6*$C80*'GW-1 Exp'!$U$27/PI()),(VLOOKUP(A80,[1]!TOX,67,FALSE))*1*0.000001*('GW-1 Exp'!$U$27/(1+$B80)+2*$C80*(1+3*$B80+3*$B80^2)/(1+$B80)^2))</f>
        <v>2.6553750259176595E-10</v>
      </c>
      <c r="AD80" s="837">
        <f>L80*IF('GW-1 Exp'!U$28&lt;=$E80,2*(VLOOKUP(A80,[1]!TOX,67,FALSE))*1*0.000001*SQRT(6*$C80*'GW-1 Exp'!$U$28/PI()),(VLOOKUP(A80,[1]!TOX,67,FALSE))*1*0.000001*('GW-1 Exp'!$U$28/(1+$B80)+2*$C80*(1+3*$B80+3*$B80^2)/(1+$B80)^2))</f>
        <v>2.7970932534242207E-10</v>
      </c>
      <c r="AE80" s="839">
        <f>L80*IF('GW-1 Exp'!U$29&lt;=$E80,2*(VLOOKUP(A80,[1]!TOX,67,FALSE))*1*0.000001*SQRT(6*$C80*'GW-1 Exp'!$U$29/PI()),(VLOOKUP(A80,[1]!TOX,67,FALSE))*1*0.000001*('GW-1 Exp'!$U$29/(1+$B80)+2*$C80*(1+3*$B80+3*$B80^2)/(1+$B80)^2))</f>
        <v>3.2489732366118368E-10</v>
      </c>
    </row>
    <row r="81" spans="1:31" x14ac:dyDescent="0.25">
      <c r="A81" s="541" t="s">
        <v>229</v>
      </c>
      <c r="B81" s="587">
        <f>(VLOOKUP(A81,[1]!TOX,67,FALSE))*(SQRT((VLOOKUP(A81,[1]!TOX,57,FALSE)))/2.6)</f>
        <v>5.4528641841376253E-3</v>
      </c>
      <c r="C81" s="596">
        <f>('GW-1 Exp'!$O$29^2)/(6*D81)</f>
        <v>1.4042639588997103</v>
      </c>
      <c r="D81" s="486">
        <f>10^(-2.8-(0.0056*(VLOOKUP(A81,[1]!TOX,57,FALSE))))*'GW-1 Exp'!$O$29</f>
        <v>1.1868613846449195E-7</v>
      </c>
      <c r="E81" s="597">
        <f t="shared" si="5"/>
        <v>3.3702335013593046</v>
      </c>
      <c r="F81" s="597">
        <f>IF(B81&lt;=0.6,0,(G81-SQRT(G81^2-H81^2))*('GW-1 Exp'!$O$29^2/D81))</f>
        <v>0</v>
      </c>
      <c r="G81" s="582">
        <f t="shared" si="6"/>
        <v>0.30660307014412369</v>
      </c>
      <c r="H81" s="598">
        <f t="shared" si="7"/>
        <v>0.33697843361380209</v>
      </c>
      <c r="I81" s="854">
        <f>(VLOOKUP(A81,[1]!TOX,67,FALSE))*1*0.000001*'GW-1 Exp'!$U$13</f>
        <v>5.9285714285714288E-10</v>
      </c>
      <c r="J81" s="855">
        <f>(VLOOKUP(A81,[1]!TOX,67,FALSE))*1*0.000001*'GW-1 Exp'!$U$21</f>
        <v>7.6555555555555563E-10</v>
      </c>
      <c r="K81" s="482"/>
      <c r="L81" s="554">
        <v>1</v>
      </c>
      <c r="M81" s="481">
        <f t="shared" si="8"/>
        <v>5.9285714285714288E-10</v>
      </c>
      <c r="N81" s="483">
        <f t="shared" si="9"/>
        <v>7.6555555555555563E-10</v>
      </c>
      <c r="O81" s="486" t="str">
        <f>IF(VLOOKUP(A81,[1]!TOX,81,FALSE)="Y","Inorganic",IF(K81="*","Streamlined",IF($E81=0,"Reduced Steady State",IF('GW-1 Exp'!$U$13&lt;=$E81,"Non-Steady State","Steady State"))))</f>
        <v>Inorganic</v>
      </c>
      <c r="P81" s="485" t="str">
        <f>IF(VLOOKUP(A81,[1]!TOX,81,FALSE)="Y","Inorganic",IF(K81="*","Streamlined",IF($E81=0,0,IF('GW-1 Exp'!$U$21&lt;=$E81,"Non-Steady State","Steady State"))))</f>
        <v>Inorganic</v>
      </c>
      <c r="Q81" s="563">
        <f>IF(K81=0,0,IF((VLOOKUP(A81,[1]!TOX,67,FALSE))=0,0,IF((VLOOKUP(A81,[1]!TOX,67,FALSE))&lt;0.5,0.2,1)))</f>
        <v>0</v>
      </c>
      <c r="R81" s="614">
        <f>IF(K81=0,IF(M81=0,0,('[1]Target Risk'!$D$8*(VLOOKUP(A81,[1]!TOX,4,FALSE))*(VLOOKUP(A81,[1]!TOX,37,FALSE)))/('GW-1 Exp'!$V$13*'GW-1 Derm'!$M81)),('[1]Target Risk'!$D$8*(VLOOKUP(A81,[1]!TOX,4,FALSE))*(VLOOKUP(A81,[1]!TOX,37,FALSE)))/('GW-1 Exp'!$J$18*'GW-1 Derm'!$Q81))</f>
        <v>236.72989967400187</v>
      </c>
      <c r="S81" s="574">
        <f>IF(OR(VLOOKUP(A81,[1]!TOX,12,FALSE)=0,VLOOKUP(A81,[1]!TOX,38,FALSE)=0),0,IF(K81=0,('[1]Target Risk'!$D$12*(VLOOKUP(A81,[1]!TOX,38,FALSE)))/('GW-1 Exp'!$V$21*'GW-1 Derm'!N81*(VLOOKUP(A81,[1]!TOX,12,FALSE))),IF(Q81=0,0,('[1]Target Risk'!$D$12*(VLOOKUP(A81,[1]!TOX,38,FALSE)))/('GW-1 Exp'!$J$26*'GW-1 Derm'!Q81*(VLOOKUP(A81,[1]!TOX,12,FALSE))))))</f>
        <v>0</v>
      </c>
      <c r="T81" s="575">
        <f>IF(OR(VLOOKUP(A81,[1]!TOX,12,FALSE)=0,VLOOKUP(A81,[1]!TOX,38,FALSE)=0),0,IF(NOT(VLOOKUP(A81,[1]!TOX,36,FALSE)="M"), IF(K81=0,('[1]Target Risk'!$D$12*(VLOOKUP(A81,[1]!TOX,38,FALSE)))/('GW-1 Exp'!$V$21*'GW-1 Derm'!N81*(VLOOKUP(A81,[1]!TOX,12,FALSE))),IF(Q81=0,0,('[1]Target Risk'!$D$12*(VLOOKUP(A81,[1]!TOX,38,FALSE)))/('GW-1 Exp'!$J$26*'GW-1 Derm'!Q81*(VLOOKUP(A81,[1]!TOX,12,FALSE))))), IF(K81=0,('[1]Target Risk'!$D$12*(VLOOKUP(A81,[1]!TOX,38,FALSE)))/(('GW-1 Exp'!$V$26*'GW-1 Derm'!AB81*(VLOOKUP(A81,[1]!TOX,12,FALSE))*10)+('GW-1 Exp'!$V$27*'GW-1 Derm'!AC81*(VLOOKUP(A81,[1]!TOX,12,FALSE))*3)+('GW-1 Exp'!$V$28*'GW-1 Derm'!AD81*(VLOOKUP(A81,[1]!TOX,12,FALSE))*3)+('GW-1 Exp'!$V$29*'GW-1 Derm'!AE81*(VLOOKUP(A81,[1]!TOX,12,FALSE))*1)),IF(Q81=0,0,(('[1]Target Risk'!$D$12*(VLOOKUP(A81,[1]!TOX,38,FALSE)))/(('GW-1 Exp'!$J$33*'GW-1 Derm'!Q81*(VLOOKUP(A81,[1]!TOX,12,FALSE))*10)+('GW-1 Exp'!$J$34*'GW-1 Derm'!Q81*(VLOOKUP(A81,[1]!TOX,12,FALSE))*3)+('GW-1 Exp'!$J$35*'GW-1 Derm'!Q81*(VLOOKUP(A81,[1]!TOX,12,FALSE))*3)+('GW-1 Exp'!$J$36*'GW-1 Derm'!Q81*(VLOOKUP(A81,[1]!TOX,12,FALSE))*1)))))))</f>
        <v>0</v>
      </c>
      <c r="AB81" s="838">
        <f>L81*IF('GW-1 Exp'!U$26&lt;=$E81,2*(VLOOKUP(A81,[1]!TOX,67,FALSE))*1*0.000001*SQRT(6*$C81*'GW-1 Exp'!$U$26/PI()),(VLOOKUP(A81,[1]!TOX,67,FALSE))*1*0.000001*('GW-1 Exp'!$U$26/(1+$B81)+2*$C81*(1+3*$B81+3*$B81^2)/(1+$B81)^2))</f>
        <v>2.3542917515728888E-9</v>
      </c>
      <c r="AC81" s="837">
        <f>L81*IF('GW-1 Exp'!U$27&lt;=$E81,2*(VLOOKUP(A81,[1]!TOX,67,FALSE))*1*0.000001*SQRT(6*$C81*'GW-1 Exp'!$U$27/PI()),(VLOOKUP(A81,[1]!TOX,67,FALSE))*1*0.000001*('GW-1 Exp'!$U$27/(1+$B81)+2*$C81*(1+3*$B81+3*$B81^2)/(1+$B81)^2))</f>
        <v>2.5546174025808143E-9</v>
      </c>
      <c r="AD81" s="837">
        <f>L81*IF('GW-1 Exp'!U$28&lt;=$E81,2*(VLOOKUP(A81,[1]!TOX,67,FALSE))*1*0.000001*SQRT(6*$C81*'GW-1 Exp'!$U$28/PI()),(VLOOKUP(A81,[1]!TOX,67,FALSE))*1*0.000001*('GW-1 Exp'!$U$28/(1+$B81)+2*$C81*(1+3*$B81+3*$B81^2)/(1+$B81)^2))</f>
        <v>2.6909581630073206E-9</v>
      </c>
      <c r="AE81" s="839">
        <f>L81*IF('GW-1 Exp'!U$29&lt;=$E81,2*(VLOOKUP(A81,[1]!TOX,67,FALSE))*1*0.000001*SQRT(6*$C81*'GW-1 Exp'!$U$29/PI()),(VLOOKUP(A81,[1]!TOX,67,FALSE))*1*0.000001*('GW-1 Exp'!$U$29/(1+$B81)+2*$C81*(1+3*$B81+3*$B81^2)/(1+$B81)^2))</f>
        <v>3.1256916592787458E-9</v>
      </c>
    </row>
    <row r="82" spans="1:31" x14ac:dyDescent="0.25">
      <c r="A82" s="540" t="s">
        <v>230</v>
      </c>
      <c r="B82" s="587">
        <f>(VLOOKUP(A82,[1]!TOX,67,FALSE))*(SQRT((VLOOKUP(A82,[1]!TOX,57,FALSE)))/2.6)</f>
        <v>0.29496107093667129</v>
      </c>
      <c r="C82" s="596">
        <f>('GW-1 Exp'!$O$29^2)/(6*D82)</f>
        <v>9.1085395753311946</v>
      </c>
      <c r="D82" s="486">
        <f>10^(-2.8-(0.0056*(VLOOKUP(A82,[1]!TOX,57,FALSE))))*'GW-1 Exp'!$O$29</f>
        <v>1.8297847342954155E-8</v>
      </c>
      <c r="E82" s="597">
        <f t="shared" si="5"/>
        <v>21.860494980794865</v>
      </c>
      <c r="F82" s="597">
        <f>IF(B82&lt;=0.6,0,(G82-SQRT(G82^2-H82^2))*('GW-1 Exp'!$O$29^2/D82))</f>
        <v>0</v>
      </c>
      <c r="G82" s="582">
        <f t="shared" si="6"/>
        <v>0.5151940204276475</v>
      </c>
      <c r="H82" s="598">
        <f t="shared" si="7"/>
        <v>0.5523690662922589</v>
      </c>
      <c r="I82" s="606">
        <f>IF('GW-1 Exp'!$U$13&lt;=$E82,2*(VLOOKUP(A82,[1]!TOX,67,FALSE))*1*0.000001*SQRT(6*$C82*'GW-1 Exp'!$U$13/PI()),(VLOOKUP(A82,[1]!TOX,67,FALSE))*1*0.000001*('GW-1 Exp'!$U$13/(1+$B82)+2*$C82*(1+3*$B82+3*$B82^2)/(1+$B82)^2))</f>
        <v>2.6480738197572195E-7</v>
      </c>
      <c r="J82" s="607">
        <f>IF('GW-1 Exp'!$U$21&lt;=$E82,2*(VLOOKUP(A82,[1]!TOX,67,FALSE))*1*0.000001*SQRT(6*$C82*'GW-1 Exp'!$U$21/PI()),(VLOOKUP(A82,[1]!TOX,67,FALSE))*1*0.000001*('GW-1 Exp'!$U$21/(1+$B82)+2*$C82*(1+3*$B82+3*$B82^2)/(1+$B82)^2))</f>
        <v>3.0091470800274787E-7</v>
      </c>
      <c r="K82" s="482" t="s">
        <v>91</v>
      </c>
      <c r="L82" s="554">
        <v>1</v>
      </c>
      <c r="M82" s="481">
        <f t="shared" si="8"/>
        <v>2.6480738197572195E-7</v>
      </c>
      <c r="N82" s="483">
        <f t="shared" si="9"/>
        <v>3.0091470800274787E-7</v>
      </c>
      <c r="O82" s="486" t="str">
        <f>IF(VLOOKUP(A82,[1]!TOX,81,FALSE)="Y","Inorganic",IF(K82="*","Streamlined",IF($E82=0,"Reduced Steady State",IF('GW-1 Exp'!$U$13&lt;=$E82,"Non-Steady State","Steady State"))))</f>
        <v>Streamlined</v>
      </c>
      <c r="P82" s="485" t="str">
        <f>IF(VLOOKUP(A82,[1]!TOX,81,FALSE)="Y","Inorganic",IF(K82="*","Streamlined",IF($E82=0,0,IF('GW-1 Exp'!$U$21&lt;=$E82,"Non-Steady State","Steady State"))))</f>
        <v>Streamlined</v>
      </c>
      <c r="Q82" s="563">
        <f>IF(K82=0,0,IF((VLOOKUP(A82,[1]!TOX,67,FALSE))=0,0,IF((VLOOKUP(A82,[1]!TOX,67,FALSE))&lt;0.5,0.2,1)))</f>
        <v>0.2</v>
      </c>
      <c r="R82" s="614">
        <f>IF(K82=0,IF(M82=0,0,('[1]Target Risk'!$D$8*(VLOOKUP(A82,[1]!TOX,4,FALSE))*(VLOOKUP(A82,[1]!TOX,37,FALSE)))/('GW-1 Exp'!$V$13*'GW-1 Derm'!$M82)),('[1]Target Risk'!$D$8*(VLOOKUP(A82,[1]!TOX,4,FALSE))*(VLOOKUP(A82,[1]!TOX,37,FALSE)))/('GW-1 Exp'!$J$18*'GW-1 Derm'!$Q82))</f>
        <v>81.097184065934073</v>
      </c>
      <c r="S82" s="574">
        <f>IF(OR(VLOOKUP(A82,[1]!TOX,12,FALSE)=0,VLOOKUP(A82,[1]!TOX,38,FALSE)=0),0,IF(K82=0,('[1]Target Risk'!$D$12*(VLOOKUP(A82,[1]!TOX,38,FALSE)))/('GW-1 Exp'!$V$21*'GW-1 Derm'!N82*(VLOOKUP(A82,[1]!TOX,12,FALSE))),IF(Q82=0,0,('[1]Target Risk'!$D$12*(VLOOKUP(A82,[1]!TOX,38,FALSE)))/('GW-1 Exp'!$J$26*'GW-1 Derm'!Q82*(VLOOKUP(A82,[1]!TOX,12,FALSE))))))</f>
        <v>0</v>
      </c>
      <c r="T82" s="575">
        <f>IF(OR(VLOOKUP(A82,[1]!TOX,12,FALSE)=0,VLOOKUP(A82,[1]!TOX,38,FALSE)=0),0,IF(NOT(VLOOKUP(A82,[1]!TOX,36,FALSE)="M"), IF(K82=0,('[1]Target Risk'!$D$12*(VLOOKUP(A82,[1]!TOX,38,FALSE)))/('GW-1 Exp'!$V$21*'GW-1 Derm'!N82*(VLOOKUP(A82,[1]!TOX,12,FALSE))),IF(Q82=0,0,('[1]Target Risk'!$D$12*(VLOOKUP(A82,[1]!TOX,38,FALSE)))/('GW-1 Exp'!$J$26*'GW-1 Derm'!Q82*(VLOOKUP(A82,[1]!TOX,12,FALSE))))), IF(K82=0,('[1]Target Risk'!$D$12*(VLOOKUP(A82,[1]!TOX,38,FALSE)))/(('GW-1 Exp'!$V$26*'GW-1 Derm'!AB82*(VLOOKUP(A82,[1]!TOX,12,FALSE))*10)+('GW-1 Exp'!$V$27*'GW-1 Derm'!AC82*(VLOOKUP(A82,[1]!TOX,12,FALSE))*3)+('GW-1 Exp'!$V$28*'GW-1 Derm'!AD82*(VLOOKUP(A82,[1]!TOX,12,FALSE))*3)+('GW-1 Exp'!$V$29*'GW-1 Derm'!AE82*(VLOOKUP(A82,[1]!TOX,12,FALSE))*1)),IF(Q82=0,0,(('[1]Target Risk'!$D$12*(VLOOKUP(A82,[1]!TOX,38,FALSE)))/(('GW-1 Exp'!$J$33*'GW-1 Derm'!Q82*(VLOOKUP(A82,[1]!TOX,12,FALSE))*10)+('GW-1 Exp'!$J$34*'GW-1 Derm'!Q82*(VLOOKUP(A82,[1]!TOX,12,FALSE))*3)+('GW-1 Exp'!$J$35*'GW-1 Derm'!Q82*(VLOOKUP(A82,[1]!TOX,12,FALSE))*3)+('GW-1 Exp'!$J$36*'GW-1 Derm'!Q82*(VLOOKUP(A82,[1]!TOX,12,FALSE))*1)))))))</f>
        <v>0</v>
      </c>
      <c r="AB82" s="838">
        <f>L82*IF('GW-1 Exp'!U$26&lt;=$E82,2*(VLOOKUP(A82,[1]!TOX,67,FALSE))*1*0.000001*SQRT(6*$C82*'GW-1 Exp'!$U$26/PI()),(VLOOKUP(A82,[1]!TOX,67,FALSE))*1*0.000001*('GW-1 Exp'!$U$26/(1+$B82)+2*$C82*(1+3*$B82+3*$B82^2)/(1+$B82)^2))</f>
        <v>2.4720672496487839E-7</v>
      </c>
      <c r="AC82" s="837">
        <f>L82*IF('GW-1 Exp'!U$27&lt;=$E82,2*(VLOOKUP(A82,[1]!TOX,67,FALSE))*1*0.000001*SQRT(6*$C82*'GW-1 Exp'!$U$27/PI()),(VLOOKUP(A82,[1]!TOX,67,FALSE))*1*0.000001*('GW-1 Exp'!$U$27/(1+$B82)+2*$C82*(1+3*$B82+3*$B82^2)/(1+$B82)^2))</f>
        <v>2.6824143660545613E-7</v>
      </c>
      <c r="AD82" s="837">
        <f>L82*IF('GW-1 Exp'!U$28&lt;=$E82,2*(VLOOKUP(A82,[1]!TOX,67,FALSE))*1*0.000001*SQRT(6*$C82*'GW-1 Exp'!$U$28/PI()),(VLOOKUP(A82,[1]!TOX,67,FALSE))*1*0.000001*('GW-1 Exp'!$U$28/(1+$B82)+2*$C82*(1+3*$B82+3*$B82^2)/(1+$B82)^2))</f>
        <v>2.8255756919256646E-7</v>
      </c>
      <c r="AE82" s="839">
        <f>L82*IF('GW-1 Exp'!U$29&lt;=$E82,2*(VLOOKUP(A82,[1]!TOX,67,FALSE))*1*0.000001*SQRT(6*$C82*'GW-1 Exp'!$U$29/PI()),(VLOOKUP(A82,[1]!TOX,67,FALSE))*1*0.000001*('GW-1 Exp'!$U$29/(1+$B82)+2*$C82*(1+3*$B82+3*$B82^2)/(1+$B82)^2))</f>
        <v>3.2820571104838819E-7</v>
      </c>
    </row>
    <row r="83" spans="1:31" x14ac:dyDescent="0.25">
      <c r="A83" s="540" t="s">
        <v>231</v>
      </c>
      <c r="B83" s="587">
        <f>(VLOOKUP(A83,[1]!TOX,67,FALSE))*(SQRT((VLOOKUP(A83,[1]!TOX,57,FALSE)))/2.6)</f>
        <v>3.1760907300827641E-3</v>
      </c>
      <c r="C83" s="596">
        <f>('GW-1 Exp'!$O$29^2)/(6*D83)</f>
        <v>0.26610237433223577</v>
      </c>
      <c r="D83" s="486">
        <f>10^(-2.8-(0.0056*(VLOOKUP(A83,[1]!TOX,57,FALSE))))*'GW-1 Exp'!$O$29</f>
        <v>6.2632536475822254E-7</v>
      </c>
      <c r="E83" s="597">
        <f t="shared" si="5"/>
        <v>0.63864569839736585</v>
      </c>
      <c r="F83" s="597">
        <f>IF(B83&lt;=0.6,0,(G83-SQRT(G83^2-H83^2))*('GW-1 Exp'!$O$29^2/D83))</f>
        <v>0</v>
      </c>
      <c r="G83" s="582">
        <f t="shared" si="6"/>
        <v>0.30521603959307275</v>
      </c>
      <c r="H83" s="598">
        <f t="shared" si="7"/>
        <v>0.33545407902498214</v>
      </c>
      <c r="I83" s="606">
        <f>IF('GW-1 Exp'!$U$13&lt;=$E83,2*(VLOOKUP(A83,[1]!TOX,67,FALSE))*1*0.000001*SQRT(6*$C83*'GW-1 Exp'!$U$13/PI()),(VLOOKUP(A83,[1]!TOX,67,FALSE))*1*0.000001*('GW-1 Exp'!$U$13/(1+$B83)+2*$C83*(1+3*$B83+3*$B83^2)/(1+$B83)^2))</f>
        <v>1.0683906721887112E-9</v>
      </c>
      <c r="J83" s="607">
        <f>IF('GW-1 Exp'!$U$21&lt;=$E83,2*(VLOOKUP(A83,[1]!TOX,67,FALSE))*1*0.000001*SQRT(6*$C83*'GW-1 Exp'!$U$21/PI()),(VLOOKUP(A83,[1]!TOX,67,FALSE))*1*0.000001*('GW-1 Exp'!$U$21/(1+$B83)+2*$C83*(1+3*$B83+3*$B83^2)/(1+$B83)^2))</f>
        <v>1.2622604183689437E-9</v>
      </c>
      <c r="K83" s="482"/>
      <c r="L83" s="554">
        <v>1</v>
      </c>
      <c r="M83" s="481">
        <f t="shared" si="8"/>
        <v>1.0683906721887112E-9</v>
      </c>
      <c r="N83" s="483">
        <f t="shared" si="9"/>
        <v>1.2622604183689437E-9</v>
      </c>
      <c r="O83" s="486" t="str">
        <f>IF(VLOOKUP(A83,[1]!TOX,81,FALSE)="Y","Inorganic",IF(K83="*","Streamlined",IF($E83=0,"Reduced Steady State",IF('GW-1 Exp'!$U$13&lt;=$E83,"Non-Steady State","Steady State"))))</f>
        <v>Non-Steady State</v>
      </c>
      <c r="P83" s="485" t="str">
        <f>IF(VLOOKUP(A83,[1]!TOX,81,FALSE)="Y","Inorganic",IF(K83="*","Streamlined",IF($E83=0,0,IF('GW-1 Exp'!$U$21&lt;=$E83,"Non-Steady State","Steady State"))))</f>
        <v>Steady State</v>
      </c>
      <c r="Q83" s="563">
        <f>IF(K83=0,0,IF((VLOOKUP(A83,[1]!TOX,67,FALSE))=0,0,IF((VLOOKUP(A83,[1]!TOX,67,FALSE))&lt;0.5,0.2,1)))</f>
        <v>0</v>
      </c>
      <c r="R83" s="614">
        <f>IF(K83=0,IF(M83=0,0,('[1]Target Risk'!$D$8*(VLOOKUP(A83,[1]!TOX,4,FALSE))*(VLOOKUP(A83,[1]!TOX,37,FALSE)))/('GW-1 Exp'!$V$13*'GW-1 Derm'!$M83)),('[1]Target Risk'!$D$8*(VLOOKUP(A83,[1]!TOX,4,FALSE))*(VLOOKUP(A83,[1]!TOX,37,FALSE)))/('GW-1 Exp'!$J$18*'GW-1 Derm'!$Q83))</f>
        <v>276553.7001299173</v>
      </c>
      <c r="S83" s="574">
        <f>IF(OR(VLOOKUP(A83,[1]!TOX,12,FALSE)=0,VLOOKUP(A83,[1]!TOX,38,FALSE)=0),0,IF(K83=0,('[1]Target Risk'!$D$12*(VLOOKUP(A83,[1]!TOX,38,FALSE)))/('GW-1 Exp'!$V$21*'GW-1 Derm'!N83*(VLOOKUP(A83,[1]!TOX,12,FALSE))),IF(Q83=0,0,('[1]Target Risk'!$D$12*(VLOOKUP(A83,[1]!TOX,38,FALSE)))/('GW-1 Exp'!$J$26*'GW-1 Derm'!Q83*(VLOOKUP(A83,[1]!TOX,12,FALSE))))))</f>
        <v>0</v>
      </c>
      <c r="T83" s="575">
        <f>IF(OR(VLOOKUP(A83,[1]!TOX,12,FALSE)=0,VLOOKUP(A83,[1]!TOX,38,FALSE)=0),0,IF(NOT(VLOOKUP(A83,[1]!TOX,36,FALSE)="M"), IF(K83=0,('[1]Target Risk'!$D$12*(VLOOKUP(A83,[1]!TOX,38,FALSE)))/('GW-1 Exp'!$V$21*'GW-1 Derm'!N83*(VLOOKUP(A83,[1]!TOX,12,FALSE))),IF(Q83=0,0,('[1]Target Risk'!$D$12*(VLOOKUP(A83,[1]!TOX,38,FALSE)))/('GW-1 Exp'!$J$26*'GW-1 Derm'!Q83*(VLOOKUP(A83,[1]!TOX,12,FALSE))))), IF(K83=0,('[1]Target Risk'!$D$12*(VLOOKUP(A83,[1]!TOX,38,FALSE)))/(('GW-1 Exp'!$V$26*'GW-1 Derm'!AB83*(VLOOKUP(A83,[1]!TOX,12,FALSE))*10)+('GW-1 Exp'!$V$27*'GW-1 Derm'!AC83*(VLOOKUP(A83,[1]!TOX,12,FALSE))*3)+('GW-1 Exp'!$V$28*'GW-1 Derm'!AD83*(VLOOKUP(A83,[1]!TOX,12,FALSE))*3)+('GW-1 Exp'!$V$29*'GW-1 Derm'!AE83*(VLOOKUP(A83,[1]!TOX,12,FALSE))*1)),IF(Q83=0,0,(('[1]Target Risk'!$D$12*(VLOOKUP(A83,[1]!TOX,38,FALSE)))/(('GW-1 Exp'!$J$33*'GW-1 Derm'!Q83*(VLOOKUP(A83,[1]!TOX,12,FALSE))*10)+('GW-1 Exp'!$J$34*'GW-1 Derm'!Q83*(VLOOKUP(A83,[1]!TOX,12,FALSE))*3)+('GW-1 Exp'!$J$35*'GW-1 Derm'!Q83*(VLOOKUP(A83,[1]!TOX,12,FALSE))*3)+('GW-1 Exp'!$J$36*'GW-1 Derm'!Q83*(VLOOKUP(A83,[1]!TOX,12,FALSE))*1)))))))</f>
        <v>0</v>
      </c>
      <c r="AB83" s="838">
        <f>L83*IF('GW-1 Exp'!U$26&lt;=$E83,2*(VLOOKUP(A83,[1]!TOX,67,FALSE))*1*0.000001*SQRT(6*$C83*'GW-1 Exp'!$U$26/PI()),(VLOOKUP(A83,[1]!TOX,67,FALSE))*1*0.000001*('GW-1 Exp'!$U$26/(1+$B83)+2*$C83*(1+3*$B83+3*$B83^2)/(1+$B83)^2))</f>
        <v>9.9737914058230725E-10</v>
      </c>
      <c r="AC83" s="837">
        <f>L83*IF('GW-1 Exp'!U$27&lt;=$E83,2*(VLOOKUP(A83,[1]!TOX,67,FALSE))*1*0.000001*SQRT(6*$C83*'GW-1 Exp'!$U$27/PI()),(VLOOKUP(A83,[1]!TOX,67,FALSE))*1*0.000001*('GW-1 Exp'!$U$27/(1+$B83)+2*$C83*(1+3*$B83+3*$B83^2)/(1+$B83)^2))</f>
        <v>1.0822456935511098E-9</v>
      </c>
      <c r="AD83" s="837">
        <f>L83*IF('GW-1 Exp'!U$28&lt;=$E83,2*(VLOOKUP(A83,[1]!TOX,67,FALSE))*1*0.000001*SQRT(6*$C83*'GW-1 Exp'!$U$28/PI()),(VLOOKUP(A83,[1]!TOX,67,FALSE))*1*0.000001*('GW-1 Exp'!$U$28/(1+$B83)+2*$C83*(1+3*$B83+3*$B83^2)/(1+$B83)^2))</f>
        <v>1.1744111949976377E-9</v>
      </c>
      <c r="AE83" s="839">
        <f>L83*IF('GW-1 Exp'!U$29&lt;=$E83,2*(VLOOKUP(A83,[1]!TOX,67,FALSE))*1*0.000001*SQRT(6*$C83*'GW-1 Exp'!$U$29/PI()),(VLOOKUP(A83,[1]!TOX,67,FALSE))*1*0.000001*('GW-1 Exp'!$U$29/(1+$B83)+2*$C83*(1+3*$B83+3*$B83^2)/(1+$B83)^2))</f>
        <v>1.4030809525899068E-9</v>
      </c>
    </row>
    <row r="84" spans="1:31" x14ac:dyDescent="0.25">
      <c r="A84" s="540" t="s">
        <v>232</v>
      </c>
      <c r="B84" s="587">
        <f>(VLOOKUP(A84,[1]!TOX,67,FALSE))*(SQRT((VLOOKUP(A84,[1]!TOX,57,FALSE)))/2.6)</f>
        <v>1.229211605697985E-2</v>
      </c>
      <c r="C84" s="596">
        <f>('GW-1 Exp'!$O$29^2)/(6*D84)</f>
        <v>0.38181127546129578</v>
      </c>
      <c r="D84" s="486">
        <f>10^(-2.8-(0.0056*(VLOOKUP(A84,[1]!TOX,57,FALSE))))*'GW-1 Exp'!$O$29</f>
        <v>4.3651583224016562E-7</v>
      </c>
      <c r="E84" s="597">
        <f t="shared" si="5"/>
        <v>0.91634706110710984</v>
      </c>
      <c r="F84" s="597">
        <f>IF(B84&lt;=0.6,0,(G84-SQRT(G84^2-H84^2))*('GW-1 Exp'!$O$29^2/D84))</f>
        <v>0</v>
      </c>
      <c r="G84" s="582">
        <f t="shared" si="6"/>
        <v>0.31078894023120474</v>
      </c>
      <c r="H84" s="598">
        <f t="shared" si="7"/>
        <v>0.34157783116430829</v>
      </c>
      <c r="I84" s="606">
        <f>IF('GW-1 Exp'!$U$13&lt;=$E84,2*(VLOOKUP(A84,[1]!TOX,67,FALSE))*1*0.000001*SQRT(6*$C84*'GW-1 Exp'!$U$13/PI()),(VLOOKUP(A84,[1]!TOX,67,FALSE))*1*0.000001*('GW-1 Exp'!$U$13/(1+$B84)+2*$C84*(1+3*$B84+3*$B84^2)/(1+$B84)^2))</f>
        <v>4.2027164284056389E-9</v>
      </c>
      <c r="J84" s="607">
        <f>IF('GW-1 Exp'!$U$21&lt;=$E84,2*(VLOOKUP(A84,[1]!TOX,67,FALSE))*1*0.000001*SQRT(6*$C84*'GW-1 Exp'!$U$21/PI()),(VLOOKUP(A84,[1]!TOX,67,FALSE))*1*0.000001*('GW-1 Exp'!$U$21/(1+$B84)+2*$C84*(1+3*$B84+3*$B84^2)/(1+$B84)^2))</f>
        <v>4.7757701369064576E-9</v>
      </c>
      <c r="K84" s="482"/>
      <c r="L84" s="554">
        <v>1</v>
      </c>
      <c r="M84" s="481">
        <f t="shared" si="8"/>
        <v>4.2027164284056389E-9</v>
      </c>
      <c r="N84" s="483">
        <f t="shared" si="9"/>
        <v>4.7757701369064576E-9</v>
      </c>
      <c r="O84" s="486" t="str">
        <f>IF(VLOOKUP(A84,[1]!TOX,81,FALSE)="Y","Inorganic",IF(K84="*","Streamlined",IF($E84=0,"Reduced Steady State",IF('GW-1 Exp'!$U$13&lt;=$E84,"Non-Steady State","Steady State"))))</f>
        <v>Non-Steady State</v>
      </c>
      <c r="P84" s="485" t="str">
        <f>IF(VLOOKUP(A84,[1]!TOX,81,FALSE)="Y","Inorganic",IF(K84="*","Streamlined",IF($E84=0,0,IF('GW-1 Exp'!$U$21&lt;=$E84,"Non-Steady State","Steady State"))))</f>
        <v>Non-Steady State</v>
      </c>
      <c r="Q84" s="563">
        <f>IF(K84=0,0,IF((VLOOKUP(A84,[1]!TOX,67,FALSE))=0,0,IF((VLOOKUP(A84,[1]!TOX,67,FALSE))&lt;0.5,0.2,1)))</f>
        <v>0</v>
      </c>
      <c r="R84" s="614">
        <f>IF(K84=0,IF(M84=0,0,('[1]Target Risk'!$D$8*(VLOOKUP(A84,[1]!TOX,4,FALSE))*(VLOOKUP(A84,[1]!TOX,37,FALSE)))/('GW-1 Exp'!$V$13*'GW-1 Derm'!$M84)),('[1]Target Risk'!$D$8*(VLOOKUP(A84,[1]!TOX,4,FALSE))*(VLOOKUP(A84,[1]!TOX,37,FALSE)))/('GW-1 Exp'!$J$18*'GW-1 Derm'!$Q84))</f>
        <v>9373.8545410312927</v>
      </c>
      <c r="S84" s="574">
        <f>IF(OR(VLOOKUP(A84,[1]!TOX,12,FALSE)=0,VLOOKUP(A84,[1]!TOX,38,FALSE)=0),0,IF(K84=0,('[1]Target Risk'!$D$12*(VLOOKUP(A84,[1]!TOX,38,FALSE)))/('GW-1 Exp'!$V$21*'GW-1 Derm'!N84*(VLOOKUP(A84,[1]!TOX,12,FALSE))),IF(Q84=0,0,('[1]Target Risk'!$D$12*(VLOOKUP(A84,[1]!TOX,38,FALSE)))/('GW-1 Exp'!$J$26*'GW-1 Derm'!Q84*(VLOOKUP(A84,[1]!TOX,12,FALSE))))))</f>
        <v>0</v>
      </c>
      <c r="T84" s="575">
        <f>IF(OR(VLOOKUP(A84,[1]!TOX,12,FALSE)=0,VLOOKUP(A84,[1]!TOX,38,FALSE)=0),0,IF(NOT(VLOOKUP(A84,[1]!TOX,36,FALSE)="M"), IF(K84=0,('[1]Target Risk'!$D$12*(VLOOKUP(A84,[1]!TOX,38,FALSE)))/('GW-1 Exp'!$V$21*'GW-1 Derm'!N84*(VLOOKUP(A84,[1]!TOX,12,FALSE))),IF(Q84=0,0,('[1]Target Risk'!$D$12*(VLOOKUP(A84,[1]!TOX,38,FALSE)))/('GW-1 Exp'!$J$26*'GW-1 Derm'!Q84*(VLOOKUP(A84,[1]!TOX,12,FALSE))))), IF(K84=0,('[1]Target Risk'!$D$12*(VLOOKUP(A84,[1]!TOX,38,FALSE)))/(('GW-1 Exp'!$V$26*'GW-1 Derm'!AB84*(VLOOKUP(A84,[1]!TOX,12,FALSE))*10)+('GW-1 Exp'!$V$27*'GW-1 Derm'!AC84*(VLOOKUP(A84,[1]!TOX,12,FALSE))*3)+('GW-1 Exp'!$V$28*'GW-1 Derm'!AD84*(VLOOKUP(A84,[1]!TOX,12,FALSE))*3)+('GW-1 Exp'!$V$29*'GW-1 Derm'!AE84*(VLOOKUP(A84,[1]!TOX,12,FALSE))*1)),IF(Q84=0,0,(('[1]Target Risk'!$D$12*(VLOOKUP(A84,[1]!TOX,38,FALSE)))/(('GW-1 Exp'!$J$33*'GW-1 Derm'!Q84*(VLOOKUP(A84,[1]!TOX,12,FALSE))*10)+('GW-1 Exp'!$J$34*'GW-1 Derm'!Q84*(VLOOKUP(A84,[1]!TOX,12,FALSE))*3)+('GW-1 Exp'!$J$35*'GW-1 Derm'!Q84*(VLOOKUP(A84,[1]!TOX,12,FALSE))*3)+('GW-1 Exp'!$J$36*'GW-1 Derm'!Q84*(VLOOKUP(A84,[1]!TOX,12,FALSE))*1)))))))</f>
        <v>0</v>
      </c>
      <c r="AB84" s="838">
        <f>L84*IF('GW-1 Exp'!U$26&lt;=$E84,2*(VLOOKUP(A84,[1]!TOX,67,FALSE))*1*0.000001*SQRT(6*$C84*'GW-1 Exp'!$U$26/PI()),(VLOOKUP(A84,[1]!TOX,67,FALSE))*1*0.000001*('GW-1 Exp'!$U$26/(1+$B84)+2*$C84*(1+3*$B84+3*$B84^2)/(1+$B84)^2))</f>
        <v>3.9233791613766293E-9</v>
      </c>
      <c r="AC84" s="837">
        <f>L84*IF('GW-1 Exp'!U$27&lt;=$E84,2*(VLOOKUP(A84,[1]!TOX,67,FALSE))*1*0.000001*SQRT(6*$C84*'GW-1 Exp'!$U$27/PI()),(VLOOKUP(A84,[1]!TOX,67,FALSE))*1*0.000001*('GW-1 Exp'!$U$27/(1+$B84)+2*$C84*(1+3*$B84+3*$B84^2)/(1+$B84)^2))</f>
        <v>4.2572177708559393E-9</v>
      </c>
      <c r="AD84" s="837">
        <f>L84*IF('GW-1 Exp'!U$28&lt;=$E84,2*(VLOOKUP(A84,[1]!TOX,67,FALSE))*1*0.000001*SQRT(6*$C84*'GW-1 Exp'!$U$28/PI()),(VLOOKUP(A84,[1]!TOX,67,FALSE))*1*0.000001*('GW-1 Exp'!$U$28/(1+$B84)+2*$C84*(1+3*$B84+3*$B84^2)/(1+$B84)^2))</f>
        <v>4.4844268658825959E-9</v>
      </c>
      <c r="AE84" s="839">
        <f>L84*IF('GW-1 Exp'!U$29&lt;=$E84,2*(VLOOKUP(A84,[1]!TOX,67,FALSE))*1*0.000001*SQRT(6*$C84*'GW-1 Exp'!$U$29/PI()),(VLOOKUP(A84,[1]!TOX,67,FALSE))*1*0.000001*('GW-1 Exp'!$U$29/(1+$B84)+2*$C84*(1+3*$B84+3*$B84^2)/(1+$B84)^2))</f>
        <v>5.2089013660732357E-9</v>
      </c>
    </row>
    <row r="85" spans="1:31" x14ac:dyDescent="0.25">
      <c r="A85" s="541" t="s">
        <v>233</v>
      </c>
      <c r="B85" s="587">
        <f>(VLOOKUP(A85,[1]!TOX,67,FALSE))*(SQRT((VLOOKUP(A85,[1]!TOX,57,FALSE)))/2.6)</f>
        <v>5.8456477513733323E-3</v>
      </c>
      <c r="C85" s="596">
        <f>('GW-1 Exp'!$O$29^2)/(6*D85)</f>
        <v>2.0675153834037143</v>
      </c>
      <c r="D85" s="486">
        <f>10^(-2.8-(0.0056*(VLOOKUP(A85,[1]!TOX,57,FALSE))))*'GW-1 Exp'!$O$29</f>
        <v>8.0612056386388901E-8</v>
      </c>
      <c r="E85" s="597">
        <f t="shared" si="5"/>
        <v>4.9620369201689138</v>
      </c>
      <c r="F85" s="597">
        <f>IF(B85&lt;=0.6,0,(G85-SQRT(G85^2-H85^2))*('GW-1 Exp'!$O$29^2/D85))</f>
        <v>0</v>
      </c>
      <c r="G85" s="582">
        <f t="shared" si="6"/>
        <v>0.30684268039520574</v>
      </c>
      <c r="H85" s="598">
        <f t="shared" si="7"/>
        <v>0.33724175616872293</v>
      </c>
      <c r="I85" s="854">
        <f>(VLOOKUP(A85,[1]!TOX,67,FALSE))*1*0.000001*'GW-1 Exp'!$U$13</f>
        <v>5.9285714285714288E-10</v>
      </c>
      <c r="J85" s="855">
        <f>(VLOOKUP(A85,[1]!TOX,67,FALSE))*1*0.000001*'GW-1 Exp'!$U$21</f>
        <v>7.6555555555555563E-10</v>
      </c>
      <c r="K85" s="482"/>
      <c r="L85" s="554">
        <v>1</v>
      </c>
      <c r="M85" s="481">
        <f t="shared" si="8"/>
        <v>5.9285714285714288E-10</v>
      </c>
      <c r="N85" s="483">
        <f t="shared" si="9"/>
        <v>7.6555555555555563E-10</v>
      </c>
      <c r="O85" s="486" t="str">
        <f>IF(VLOOKUP(A85,[1]!TOX,81,FALSE)="Y","Inorganic",IF(K85="*","Streamlined",IF($E85=0,"Reduced Steady State",IF('GW-1 Exp'!$U$13&lt;=$E85,"Non-Steady State","Steady State"))))</f>
        <v>Inorganic</v>
      </c>
      <c r="P85" s="485" t="str">
        <f>IF(VLOOKUP(A85,[1]!TOX,81,FALSE)="Y","Inorganic",IF(K85="*","Streamlined",IF($E85=0,0,IF('GW-1 Exp'!$U$21&lt;=$E85,"Non-Steady State","Steady State"))))</f>
        <v>Inorganic</v>
      </c>
      <c r="Q85" s="563">
        <f>IF(K85=0,0,IF((VLOOKUP(A85,[1]!TOX,67,FALSE))=0,0,IF((VLOOKUP(A85,[1]!TOX,67,FALSE))&lt;0.5,0.2,1)))</f>
        <v>0</v>
      </c>
      <c r="R85" s="614">
        <f>IF(K85=0,IF(M85=0,0,('[1]Target Risk'!$D$8*(VLOOKUP(A85,[1]!TOX,4,FALSE))*(VLOOKUP(A85,[1]!TOX,37,FALSE)))/('GW-1 Exp'!$V$13*'GW-1 Derm'!$M85)),('[1]Target Risk'!$D$8*(VLOOKUP(A85,[1]!TOX,4,FALSE))*(VLOOKUP(A85,[1]!TOX,37,FALSE)))/('GW-1 Exp'!$J$18*'GW-1 Derm'!$Q85))</f>
        <v>78.909966558000633</v>
      </c>
      <c r="S85" s="574">
        <f>IF(OR(VLOOKUP(A85,[1]!TOX,12,FALSE)=0,VLOOKUP(A85,[1]!TOX,38,FALSE)=0),0,IF(K85=0,('[1]Target Risk'!$D$12*(VLOOKUP(A85,[1]!TOX,38,FALSE)))/('GW-1 Exp'!$V$21*'GW-1 Derm'!N85*(VLOOKUP(A85,[1]!TOX,12,FALSE))),IF(Q85=0,0,('[1]Target Risk'!$D$12*(VLOOKUP(A85,[1]!TOX,38,FALSE)))/('GW-1 Exp'!$J$26*'GW-1 Derm'!Q85*(VLOOKUP(A85,[1]!TOX,12,FALSE))))))</f>
        <v>0</v>
      </c>
      <c r="T85" s="575">
        <f>IF(OR(VLOOKUP(A85,[1]!TOX,12,FALSE)=0,VLOOKUP(A85,[1]!TOX,38,FALSE)=0),0,IF(NOT(VLOOKUP(A85,[1]!TOX,36,FALSE)="M"), IF(K85=0,('[1]Target Risk'!$D$12*(VLOOKUP(A85,[1]!TOX,38,FALSE)))/('GW-1 Exp'!$V$21*'GW-1 Derm'!N85*(VLOOKUP(A85,[1]!TOX,12,FALSE))),IF(Q85=0,0,('[1]Target Risk'!$D$12*(VLOOKUP(A85,[1]!TOX,38,FALSE)))/('GW-1 Exp'!$J$26*'GW-1 Derm'!Q85*(VLOOKUP(A85,[1]!TOX,12,FALSE))))), IF(K85=0,('[1]Target Risk'!$D$12*(VLOOKUP(A85,[1]!TOX,38,FALSE)))/(('GW-1 Exp'!$V$26*'GW-1 Derm'!AB85*(VLOOKUP(A85,[1]!TOX,12,FALSE))*10)+('GW-1 Exp'!$V$27*'GW-1 Derm'!AC85*(VLOOKUP(A85,[1]!TOX,12,FALSE))*3)+('GW-1 Exp'!$V$28*'GW-1 Derm'!AD85*(VLOOKUP(A85,[1]!TOX,12,FALSE))*3)+('GW-1 Exp'!$V$29*'GW-1 Derm'!AE85*(VLOOKUP(A85,[1]!TOX,12,FALSE))*1)),IF(Q85=0,0,(('[1]Target Risk'!$D$12*(VLOOKUP(A85,[1]!TOX,38,FALSE)))/(('GW-1 Exp'!$J$33*'GW-1 Derm'!Q85*(VLOOKUP(A85,[1]!TOX,12,FALSE))*10)+('GW-1 Exp'!$J$34*'GW-1 Derm'!Q85*(VLOOKUP(A85,[1]!TOX,12,FALSE))*3)+('GW-1 Exp'!$J$35*'GW-1 Derm'!Q85*(VLOOKUP(A85,[1]!TOX,12,FALSE))*3)+('GW-1 Exp'!$J$36*'GW-1 Derm'!Q85*(VLOOKUP(A85,[1]!TOX,12,FALSE))*1)))))))</f>
        <v>0</v>
      </c>
      <c r="AB85" s="838">
        <f>L85*IF('GW-1 Exp'!U$26&lt;=$E85,2*(VLOOKUP(A85,[1]!TOX,67,FALSE))*1*0.000001*SQRT(6*$C85*'GW-1 Exp'!$U$26/PI()),(VLOOKUP(A85,[1]!TOX,67,FALSE))*1*0.000001*('GW-1 Exp'!$U$26/(1+$B85)+2*$C85*(1+3*$B85+3*$B85^2)/(1+$B85)^2))</f>
        <v>2.8566713621002092E-9</v>
      </c>
      <c r="AC85" s="837">
        <f>L85*IF('GW-1 Exp'!U$27&lt;=$E85,2*(VLOOKUP(A85,[1]!TOX,67,FALSE))*1*0.000001*SQRT(6*$C85*'GW-1 Exp'!$U$27/PI()),(VLOOKUP(A85,[1]!TOX,67,FALSE))*1*0.000001*('GW-1 Exp'!$U$27/(1+$B85)+2*$C85*(1+3*$B85+3*$B85^2)/(1+$B85)^2))</f>
        <v>3.0997442734953639E-9</v>
      </c>
      <c r="AD85" s="837">
        <f>L85*IF('GW-1 Exp'!U$28&lt;=$E85,2*(VLOOKUP(A85,[1]!TOX,67,FALSE))*1*0.000001*SQRT(6*$C85*'GW-1 Exp'!$U$28/PI()),(VLOOKUP(A85,[1]!TOX,67,FALSE))*1*0.000001*('GW-1 Exp'!$U$28/(1+$B85)+2*$C85*(1+3*$B85+3*$B85^2)/(1+$B85)^2))</f>
        <v>3.2651786320608034E-9</v>
      </c>
      <c r="AE85" s="839">
        <f>L85*IF('GW-1 Exp'!U$29&lt;=$E85,2*(VLOOKUP(A85,[1]!TOX,67,FALSE))*1*0.000001*SQRT(6*$C85*'GW-1 Exp'!$U$29/PI()),(VLOOKUP(A85,[1]!TOX,67,FALSE))*1*0.000001*('GW-1 Exp'!$U$29/(1+$B85)+2*$C85*(1+3*$B85+3*$B85^2)/(1+$B85)^2))</f>
        <v>3.7926794093602095E-9</v>
      </c>
    </row>
    <row r="86" spans="1:31" ht="23" x14ac:dyDescent="0.25">
      <c r="A86" s="540" t="s">
        <v>234</v>
      </c>
      <c r="B86" s="587">
        <f>(VLOOKUP(A86,[1]!TOX,67,FALSE))*(SQRT((VLOOKUP(A86,[1]!TOX,57,FALSE)))/2.6)</f>
        <v>7.6712827099371878E-3</v>
      </c>
      <c r="C86" s="596">
        <f>('GW-1 Exp'!$O$29^2)/(6*D86)</f>
        <v>0.32707605402894846</v>
      </c>
      <c r="D86" s="486">
        <f>10^(-2.8-(0.0056*(VLOOKUP(A86,[1]!TOX,57,FALSE))))*'GW-1 Exp'!$O$29</f>
        <v>5.0956548060811427E-7</v>
      </c>
      <c r="E86" s="597">
        <f t="shared" si="5"/>
        <v>0.78498252966947624</v>
      </c>
      <c r="F86" s="597">
        <f>IF(B86&lt;=0.6,0,(G86-SQRT(G86^2-H86^2))*('GW-1 Exp'!$O$29^2/D86))</f>
        <v>0</v>
      </c>
      <c r="G86" s="582">
        <f t="shared" si="6"/>
        <v>0.30795762837764556</v>
      </c>
      <c r="H86" s="598">
        <f t="shared" si="7"/>
        <v>0.33846698866366626</v>
      </c>
      <c r="I86" s="606">
        <f>IF('GW-1 Exp'!$U$13&lt;=$E86,2*(VLOOKUP(A86,[1]!TOX,67,FALSE))*1*0.000001*SQRT(6*$C86*'GW-1 Exp'!$U$13/PI()),(VLOOKUP(A86,[1]!TOX,67,FALSE))*1*0.000001*('GW-1 Exp'!$U$13/(1+$B86)+2*$C86*(1+3*$B86+3*$B86^2)/(1+$B86)^2))</f>
        <v>2.5877963005053835E-9</v>
      </c>
      <c r="J86" s="607">
        <f>IF('GW-1 Exp'!$U$21&lt;=$E86,2*(VLOOKUP(A86,[1]!TOX,67,FALSE))*1*0.000001*SQRT(6*$C86*'GW-1 Exp'!$U$21/PI()),(VLOOKUP(A86,[1]!TOX,67,FALSE))*1*0.000001*('GW-1 Exp'!$U$21/(1+$B86)+2*$C86*(1+3*$B86+3*$B86^2)/(1+$B86)^2))</f>
        <v>2.9406505299333456E-9</v>
      </c>
      <c r="K86" s="482"/>
      <c r="L86" s="554">
        <v>1</v>
      </c>
      <c r="M86" s="481">
        <f t="shared" si="8"/>
        <v>2.5877963005053835E-9</v>
      </c>
      <c r="N86" s="483">
        <f t="shared" si="9"/>
        <v>2.9406505299333456E-9</v>
      </c>
      <c r="O86" s="486" t="str">
        <f>IF(VLOOKUP(A86,[1]!TOX,81,FALSE)="Y","Inorganic",IF(K86="*","Streamlined",IF($E86=0,"Reduced Steady State",IF('GW-1 Exp'!$U$13&lt;=$E86,"Non-Steady State","Steady State"))))</f>
        <v>Non-Steady State</v>
      </c>
      <c r="P86" s="485" t="str">
        <f>IF(VLOOKUP(A86,[1]!TOX,81,FALSE)="Y","Inorganic",IF(K86="*","Streamlined",IF($E86=0,0,IF('GW-1 Exp'!$U$21&lt;=$E86,"Non-Steady State","Steady State"))))</f>
        <v>Non-Steady State</v>
      </c>
      <c r="Q86" s="563">
        <f>IF(K86=0,0,IF((VLOOKUP(A86,[1]!TOX,67,FALSE))=0,0,IF((VLOOKUP(A86,[1]!TOX,67,FALSE))&lt;0.5,0.2,1)))</f>
        <v>0</v>
      </c>
      <c r="R86" s="614">
        <f>IF(K86=0,IF(M86=0,0,('[1]Target Risk'!$D$8*(VLOOKUP(A86,[1]!TOX,4,FALSE))*(VLOOKUP(A86,[1]!TOX,37,FALSE)))/('GW-1 Exp'!$V$13*'GW-1 Derm'!$M86)),('[1]Target Risk'!$D$8*(VLOOKUP(A86,[1]!TOX,4,FALSE))*(VLOOKUP(A86,[1]!TOX,37,FALSE)))/('GW-1 Exp'!$J$18*'GW-1 Derm'!$Q86))</f>
        <v>19029.537056965826</v>
      </c>
      <c r="S86" s="574">
        <f>IF(OR(VLOOKUP(A86,[1]!TOX,12,FALSE)=0,VLOOKUP(A86,[1]!TOX,38,FALSE)=0),0,IF(K86=0,('[1]Target Risk'!$D$12*(VLOOKUP(A86,[1]!TOX,38,FALSE)))/('GW-1 Exp'!$V$21*'GW-1 Derm'!N86*(VLOOKUP(A86,[1]!TOX,12,FALSE))),IF(Q86=0,0,('[1]Target Risk'!$D$12*(VLOOKUP(A86,[1]!TOX,38,FALSE)))/('GW-1 Exp'!$J$26*'GW-1 Derm'!Q86*(VLOOKUP(A86,[1]!TOX,12,FALSE))))))</f>
        <v>0</v>
      </c>
      <c r="T86" s="575">
        <f>IF(OR(VLOOKUP(A86,[1]!TOX,12,FALSE)=0,VLOOKUP(A86,[1]!TOX,38,FALSE)=0),0,IF(NOT(VLOOKUP(A86,[1]!TOX,36,FALSE)="M"), IF(K86=0,('[1]Target Risk'!$D$12*(VLOOKUP(A86,[1]!TOX,38,FALSE)))/('GW-1 Exp'!$V$21*'GW-1 Derm'!N86*(VLOOKUP(A86,[1]!TOX,12,FALSE))),IF(Q86=0,0,('[1]Target Risk'!$D$12*(VLOOKUP(A86,[1]!TOX,38,FALSE)))/('GW-1 Exp'!$J$26*'GW-1 Derm'!Q86*(VLOOKUP(A86,[1]!TOX,12,FALSE))))), IF(K86=0,('[1]Target Risk'!$D$12*(VLOOKUP(A86,[1]!TOX,38,FALSE)))/(('GW-1 Exp'!$V$26*'GW-1 Derm'!AB86*(VLOOKUP(A86,[1]!TOX,12,FALSE))*10)+('GW-1 Exp'!$V$27*'GW-1 Derm'!AC86*(VLOOKUP(A86,[1]!TOX,12,FALSE))*3)+('GW-1 Exp'!$V$28*'GW-1 Derm'!AD86*(VLOOKUP(A86,[1]!TOX,12,FALSE))*3)+('GW-1 Exp'!$V$29*'GW-1 Derm'!AE86*(VLOOKUP(A86,[1]!TOX,12,FALSE))*1)),IF(Q86=0,0,(('[1]Target Risk'!$D$12*(VLOOKUP(A86,[1]!TOX,38,FALSE)))/(('GW-1 Exp'!$J$33*'GW-1 Derm'!Q86*(VLOOKUP(A86,[1]!TOX,12,FALSE))*10)+('GW-1 Exp'!$J$34*'GW-1 Derm'!Q86*(VLOOKUP(A86,[1]!TOX,12,FALSE))*3)+('GW-1 Exp'!$J$35*'GW-1 Derm'!Q86*(VLOOKUP(A86,[1]!TOX,12,FALSE))*3)+('GW-1 Exp'!$J$36*'GW-1 Derm'!Q86*(VLOOKUP(A86,[1]!TOX,12,FALSE))*1)))))))</f>
        <v>0</v>
      </c>
      <c r="AB86" s="838">
        <f>L86*IF('GW-1 Exp'!U$26&lt;=$E86,2*(VLOOKUP(A86,[1]!TOX,67,FALSE))*1*0.000001*SQRT(6*$C86*'GW-1 Exp'!$U$26/PI()),(VLOOKUP(A86,[1]!TOX,67,FALSE))*1*0.000001*('GW-1 Exp'!$U$26/(1+$B86)+2*$C86*(1+3*$B86+3*$B86^2)/(1+$B86)^2))</f>
        <v>2.4157961290626515E-9</v>
      </c>
      <c r="AC86" s="837">
        <f>L86*IF('GW-1 Exp'!U$27&lt;=$E86,2*(VLOOKUP(A86,[1]!TOX,67,FALSE))*1*0.000001*SQRT(6*$C86*'GW-1 Exp'!$U$27/PI()),(VLOOKUP(A86,[1]!TOX,67,FALSE))*1*0.000001*('GW-1 Exp'!$U$27/(1+$B86)+2*$C86*(1+3*$B86+3*$B86^2)/(1+$B86)^2))</f>
        <v>2.621355160535102E-9</v>
      </c>
      <c r="AD86" s="837">
        <f>L86*IF('GW-1 Exp'!U$28&lt;=$E86,2*(VLOOKUP(A86,[1]!TOX,67,FALSE))*1*0.000001*SQRT(6*$C86*'GW-1 Exp'!$U$28/PI()),(VLOOKUP(A86,[1]!TOX,67,FALSE))*1*0.000001*('GW-1 Exp'!$U$28/(1+$B86)+2*$C86*(1+3*$B86+3*$B86^2)/(1+$B86)^2))</f>
        <v>2.7612577367777282E-9</v>
      </c>
      <c r="AE86" s="839">
        <f>L86*IF('GW-1 Exp'!U$29&lt;=$E86,2*(VLOOKUP(A86,[1]!TOX,67,FALSE))*1*0.000001*SQRT(6*$C86*'GW-1 Exp'!$U$29/PI()),(VLOOKUP(A86,[1]!TOX,67,FALSE))*1*0.000001*('GW-1 Exp'!$U$29/(1+$B86)+2*$C86*(1+3*$B86+3*$B86^2)/(1+$B86)^2))</f>
        <v>3.3231152106756762E-9</v>
      </c>
    </row>
    <row r="87" spans="1:31" x14ac:dyDescent="0.25">
      <c r="A87" s="540" t="s">
        <v>235</v>
      </c>
      <c r="B87" s="587">
        <f>(VLOOKUP(A87,[1]!TOX,67,FALSE))*(SQRT((VLOOKUP(A87,[1]!TOX,57,FALSE)))/2.6)</f>
        <v>0.41074361798752435</v>
      </c>
      <c r="C87" s="596">
        <f>('GW-1 Exp'!$O$29^2)/(6*D87)</f>
        <v>0.65621892283475036</v>
      </c>
      <c r="D87" s="486">
        <f>10^(-2.8-(0.0056*(VLOOKUP(A87,[1]!TOX,57,FALSE))))*'GW-1 Exp'!$O$29</f>
        <v>2.5398028137728178E-7</v>
      </c>
      <c r="E87" s="597">
        <f t="shared" si="5"/>
        <v>1.5749254148034009</v>
      </c>
      <c r="F87" s="597">
        <f>IF(B87&lt;=0.6,0,(G87-SQRT(G87^2-H87^2))*('GW-1 Exp'!$O$29^2/D87))</f>
        <v>0</v>
      </c>
      <c r="G87" s="582">
        <f t="shared" si="6"/>
        <v>0.61997348994578239</v>
      </c>
      <c r="H87" s="598">
        <f t="shared" si="7"/>
        <v>0.64702562492571281</v>
      </c>
      <c r="I87" s="606">
        <f>IF('GW-1 Exp'!$U$13&lt;=$E87,2*(VLOOKUP(A87,[1]!TOX,67,FALSE))*1*0.000001*SQRT(6*$C87*'GW-1 Exp'!$U$13/PI()),(VLOOKUP(A87,[1]!TOX,67,FALSE))*1*0.000001*('GW-1 Exp'!$U$13/(1+$B87)+2*$C87*(1+3*$B87+3*$B87^2)/(1+$B87)^2))</f>
        <v>1.5450057058928248E-7</v>
      </c>
      <c r="J87" s="607">
        <f>IF('GW-1 Exp'!$U$21&lt;=$E87,2*(VLOOKUP(A87,[1]!TOX,67,FALSE))*1*0.000001*SQRT(6*$C87*'GW-1 Exp'!$U$21/PI()),(VLOOKUP(A87,[1]!TOX,67,FALSE))*1*0.000001*('GW-1 Exp'!$U$21/(1+$B87)+2*$C87*(1+3*$B87+3*$B87^2)/(1+$B87)^2))</f>
        <v>1.7556721318816671E-7</v>
      </c>
      <c r="K87" s="482"/>
      <c r="L87" s="554">
        <v>1</v>
      </c>
      <c r="M87" s="481">
        <f t="shared" si="8"/>
        <v>1.5450057058928248E-7</v>
      </c>
      <c r="N87" s="483">
        <f t="shared" si="9"/>
        <v>1.7556721318816671E-7</v>
      </c>
      <c r="O87" s="486" t="str">
        <f>IF(VLOOKUP(A87,[1]!TOX,81,FALSE)="Y","Inorganic",IF(K87="*","Streamlined",IF($E87=0,"Reduced Steady State",IF('GW-1 Exp'!$U$13&lt;=$E87,"Non-Steady State","Steady State"))))</f>
        <v>Non-Steady State</v>
      </c>
      <c r="P87" s="485" t="str">
        <f>IF(VLOOKUP(A87,[1]!TOX,81,FALSE)="Y","Inorganic",IF(K87="*","Streamlined",IF($E87=0,0,IF('GW-1 Exp'!$U$21&lt;=$E87,"Non-Steady State","Steady State"))))</f>
        <v>Non-Steady State</v>
      </c>
      <c r="Q87" s="563">
        <f>IF(K87=0,0,IF((VLOOKUP(A87,[1]!TOX,67,FALSE))=0,0,IF((VLOOKUP(A87,[1]!TOX,67,FALSE))&lt;0.5,0.2,1)))</f>
        <v>0</v>
      </c>
      <c r="R87" s="614">
        <f>IF(K87=0,IF(M87=0,0,('[1]Target Risk'!$D$8*(VLOOKUP(A87,[1]!TOX,4,FALSE))*(VLOOKUP(A87,[1]!TOX,37,FALSE)))/('GW-1 Exp'!$V$13*'GW-1 Derm'!$M87)),('[1]Target Risk'!$D$8*(VLOOKUP(A87,[1]!TOX,4,FALSE))*(VLOOKUP(A87,[1]!TOX,37,FALSE)))/('GW-1 Exp'!$J$18*'GW-1 Derm'!$Q87))</f>
        <v>11.729406610173729</v>
      </c>
      <c r="S87" s="574">
        <f>IF(OR(VLOOKUP(A87,[1]!TOX,12,FALSE)=0,VLOOKUP(A87,[1]!TOX,38,FALSE)=0),0,IF(K87=0,('[1]Target Risk'!$D$12*(VLOOKUP(A87,[1]!TOX,38,FALSE)))/('GW-1 Exp'!$V$21*'GW-1 Derm'!N87*(VLOOKUP(A87,[1]!TOX,12,FALSE))),IF(Q87=0,0,('[1]Target Risk'!$D$12*(VLOOKUP(A87,[1]!TOX,38,FALSE)))/('GW-1 Exp'!$J$26*'GW-1 Derm'!Q87*(VLOOKUP(A87,[1]!TOX,12,FALSE))))))</f>
        <v>0</v>
      </c>
      <c r="T87" s="575">
        <f>IF(OR(VLOOKUP(A87,[1]!TOX,12,FALSE)=0,VLOOKUP(A87,[1]!TOX,38,FALSE)=0),0,IF(NOT(VLOOKUP(A87,[1]!TOX,36,FALSE)="M"), IF(K87=0,('[1]Target Risk'!$D$12*(VLOOKUP(A87,[1]!TOX,38,FALSE)))/('GW-1 Exp'!$V$21*'GW-1 Derm'!N87*(VLOOKUP(A87,[1]!TOX,12,FALSE))),IF(Q87=0,0,('[1]Target Risk'!$D$12*(VLOOKUP(A87,[1]!TOX,38,FALSE)))/('GW-1 Exp'!$J$26*'GW-1 Derm'!Q87*(VLOOKUP(A87,[1]!TOX,12,FALSE))))), IF(K87=0,('[1]Target Risk'!$D$12*(VLOOKUP(A87,[1]!TOX,38,FALSE)))/(('GW-1 Exp'!$V$26*'GW-1 Derm'!AB87*(VLOOKUP(A87,[1]!TOX,12,FALSE))*10)+('GW-1 Exp'!$V$27*'GW-1 Derm'!AC87*(VLOOKUP(A87,[1]!TOX,12,FALSE))*3)+('GW-1 Exp'!$V$28*'GW-1 Derm'!AD87*(VLOOKUP(A87,[1]!TOX,12,FALSE))*3)+('GW-1 Exp'!$V$29*'GW-1 Derm'!AE87*(VLOOKUP(A87,[1]!TOX,12,FALSE))*1)),IF(Q87=0,0,(('[1]Target Risk'!$D$12*(VLOOKUP(A87,[1]!TOX,38,FALSE)))/(('GW-1 Exp'!$J$33*'GW-1 Derm'!Q87*(VLOOKUP(A87,[1]!TOX,12,FALSE))*10)+('GW-1 Exp'!$J$34*'GW-1 Derm'!Q87*(VLOOKUP(A87,[1]!TOX,12,FALSE))*3)+('GW-1 Exp'!$J$35*'GW-1 Derm'!Q87*(VLOOKUP(A87,[1]!TOX,12,FALSE))*3)+('GW-1 Exp'!$J$36*'GW-1 Derm'!Q87*(VLOOKUP(A87,[1]!TOX,12,FALSE))*1)))))))</f>
        <v>0</v>
      </c>
      <c r="AB87" s="838">
        <f>L87*IF('GW-1 Exp'!U$26&lt;=$E87,2*(VLOOKUP(A87,[1]!TOX,67,FALSE))*1*0.000001*SQRT(6*$C87*'GW-1 Exp'!$U$26/PI()),(VLOOKUP(A87,[1]!TOX,67,FALSE))*1*0.000001*('GW-1 Exp'!$U$26/(1+$B87)+2*$C87*(1+3*$B87+3*$B87^2)/(1+$B87)^2))</f>
        <v>1.4423155342430444E-7</v>
      </c>
      <c r="AC87" s="837">
        <f>L87*IF('GW-1 Exp'!U$27&lt;=$E87,2*(VLOOKUP(A87,[1]!TOX,67,FALSE))*1*0.000001*SQRT(6*$C87*'GW-1 Exp'!$U$27/PI()),(VLOOKUP(A87,[1]!TOX,67,FALSE))*1*0.000001*('GW-1 Exp'!$U$27/(1+$B87)+2*$C87*(1+3*$B87+3*$B87^2)/(1+$B87)^2))</f>
        <v>1.5650415295080947E-7</v>
      </c>
      <c r="AD87" s="837">
        <f>L87*IF('GW-1 Exp'!U$28&lt;=$E87,2*(VLOOKUP(A87,[1]!TOX,67,FALSE))*1*0.000001*SQRT(6*$C87*'GW-1 Exp'!$U$28/PI()),(VLOOKUP(A87,[1]!TOX,67,FALSE))*1*0.000001*('GW-1 Exp'!$U$28/(1+$B87)+2*$C87*(1+3*$B87+3*$B87^2)/(1+$B87)^2))</f>
        <v>1.6485683042089281E-7</v>
      </c>
      <c r="AE87" s="839">
        <f>L87*IF('GW-1 Exp'!U$29&lt;=$E87,2*(VLOOKUP(A87,[1]!TOX,67,FALSE))*1*0.000001*SQRT(6*$C87*'GW-1 Exp'!$U$29/PI()),(VLOOKUP(A87,[1]!TOX,67,FALSE))*1*0.000001*('GW-1 Exp'!$U$29/(1+$B87)+2*$C87*(1+3*$B87+3*$B87^2)/(1+$B87)^2))</f>
        <v>1.9149001530586543E-7</v>
      </c>
    </row>
    <row r="88" spans="1:31" x14ac:dyDescent="0.25">
      <c r="A88" s="540" t="s">
        <v>236</v>
      </c>
      <c r="B88" s="587">
        <f>(VLOOKUP(A88,[1]!TOX,67,FALSE))*(SQRT((VLOOKUP(A88,[1]!TOX,57,FALSE)))/2.6)</f>
        <v>0.19944889605980373</v>
      </c>
      <c r="C88" s="596">
        <f>('GW-1 Exp'!$O$29^2)/(6*D88)</f>
        <v>0.54783370661462616</v>
      </c>
      <c r="D88" s="486">
        <f>10^(-2.8-(0.0056*(VLOOKUP(A88,[1]!TOX,57,FALSE))))*'GW-1 Exp'!$O$29</f>
        <v>3.0422857274809561E-7</v>
      </c>
      <c r="E88" s="597">
        <f t="shared" si="5"/>
        <v>1.3148008958751027</v>
      </c>
      <c r="F88" s="597">
        <f>IF(B88&lt;=0.6,0,(G88-SQRT(G88^2-H88^2))*('GW-1 Exp'!$O$29^2/D88))</f>
        <v>0</v>
      </c>
      <c r="G88" s="582">
        <f t="shared" si="6"/>
        <v>0.43853633795661051</v>
      </c>
      <c r="H88" s="598">
        <f t="shared" si="7"/>
        <v>0.47735430280813218</v>
      </c>
      <c r="I88" s="606">
        <f>IF('GW-1 Exp'!$U$13&lt;=$E88,2*(VLOOKUP(A88,[1]!TOX,67,FALSE))*1*0.000001*SQRT(6*$C88*'GW-1 Exp'!$U$13/PI()),(VLOOKUP(A88,[1]!TOX,67,FALSE))*1*0.000001*('GW-1 Exp'!$U$13/(1+$B88)+2*$C88*(1+3*$B88+3*$B88^2)/(1+$B88)^2))</f>
        <v>7.2198818012030301E-8</v>
      </c>
      <c r="J88" s="607">
        <f>IF('GW-1 Exp'!$U$21&lt;=$E88,2*(VLOOKUP(A88,[1]!TOX,67,FALSE))*1*0.000001*SQRT(6*$C88*'GW-1 Exp'!$U$21/PI()),(VLOOKUP(A88,[1]!TOX,67,FALSE))*1*0.000001*('GW-1 Exp'!$U$21/(1+$B88)+2*$C88*(1+3*$B88+3*$B88^2)/(1+$B88)^2))</f>
        <v>8.2043355733283456E-8</v>
      </c>
      <c r="K88" s="482"/>
      <c r="L88" s="554">
        <v>1</v>
      </c>
      <c r="M88" s="481">
        <f t="shared" si="8"/>
        <v>7.2198818012030301E-8</v>
      </c>
      <c r="N88" s="483">
        <f t="shared" si="9"/>
        <v>8.2043355733283456E-8</v>
      </c>
      <c r="O88" s="486" t="str">
        <f>IF(VLOOKUP(A88,[1]!TOX,81,FALSE)="Y","Inorganic",IF(K88="*","Streamlined",IF($E88=0,"Reduced Steady State",IF('GW-1 Exp'!$U$13&lt;=$E88,"Non-Steady State","Steady State"))))</f>
        <v>Non-Steady State</v>
      </c>
      <c r="P88" s="485" t="str">
        <f>IF(VLOOKUP(A88,[1]!TOX,81,FALSE)="Y","Inorganic",IF(K88="*","Streamlined",IF($E88=0,0,IF('GW-1 Exp'!$U$21&lt;=$E88,"Non-Steady State","Steady State"))))</f>
        <v>Non-Steady State</v>
      </c>
      <c r="Q88" s="563">
        <f>IF(K88=0,0,IF((VLOOKUP(A88,[1]!TOX,67,FALSE))=0,0,IF((VLOOKUP(A88,[1]!TOX,67,FALSE))&lt;0.5,0.2,1)))</f>
        <v>0</v>
      </c>
      <c r="R88" s="614">
        <f>IF(K88=0,IF(M88=0,0,('[1]Target Risk'!$D$8*(VLOOKUP(A88,[1]!TOX,4,FALSE))*(VLOOKUP(A88,[1]!TOX,37,FALSE)))/('GW-1 Exp'!$V$13*'GW-1 Derm'!$M88)),('[1]Target Risk'!$D$8*(VLOOKUP(A88,[1]!TOX,4,FALSE))*(VLOOKUP(A88,[1]!TOX,37,FALSE)))/('GW-1 Exp'!$J$18*'GW-1 Derm'!$Q88))</f>
        <v>125.50067049875945</v>
      </c>
      <c r="S88" s="574">
        <f>IF(OR(VLOOKUP(A88,[1]!TOX,12,FALSE)=0,VLOOKUP(A88,[1]!TOX,38,FALSE)=0),0,IF(K88=0,('[1]Target Risk'!$D$12*(VLOOKUP(A88,[1]!TOX,38,FALSE)))/('GW-1 Exp'!$V$21*'GW-1 Derm'!N88*(VLOOKUP(A88,[1]!TOX,12,FALSE))),IF(Q88=0,0,('[1]Target Risk'!$D$12*(VLOOKUP(A88,[1]!TOX,38,FALSE)))/('GW-1 Exp'!$J$26*'GW-1 Derm'!Q88*(VLOOKUP(A88,[1]!TOX,12,FALSE))))))</f>
        <v>0</v>
      </c>
      <c r="T88" s="575">
        <f>IF(OR(VLOOKUP(A88,[1]!TOX,12,FALSE)=0,VLOOKUP(A88,[1]!TOX,38,FALSE)=0),0,IF(NOT(VLOOKUP(A88,[1]!TOX,36,FALSE)="M"), IF(K88=0,('[1]Target Risk'!$D$12*(VLOOKUP(A88,[1]!TOX,38,FALSE)))/('GW-1 Exp'!$V$21*'GW-1 Derm'!N88*(VLOOKUP(A88,[1]!TOX,12,FALSE))),IF(Q88=0,0,('[1]Target Risk'!$D$12*(VLOOKUP(A88,[1]!TOX,38,FALSE)))/('GW-1 Exp'!$J$26*'GW-1 Derm'!Q88*(VLOOKUP(A88,[1]!TOX,12,FALSE))))), IF(K88=0,('[1]Target Risk'!$D$12*(VLOOKUP(A88,[1]!TOX,38,FALSE)))/(('GW-1 Exp'!$V$26*'GW-1 Derm'!AB88*(VLOOKUP(A88,[1]!TOX,12,FALSE))*10)+('GW-1 Exp'!$V$27*'GW-1 Derm'!AC88*(VLOOKUP(A88,[1]!TOX,12,FALSE))*3)+('GW-1 Exp'!$V$28*'GW-1 Derm'!AD88*(VLOOKUP(A88,[1]!TOX,12,FALSE))*3)+('GW-1 Exp'!$V$29*'GW-1 Derm'!AE88*(VLOOKUP(A88,[1]!TOX,12,FALSE))*1)),IF(Q88=0,0,(('[1]Target Risk'!$D$12*(VLOOKUP(A88,[1]!TOX,38,FALSE)))/(('GW-1 Exp'!$J$33*'GW-1 Derm'!Q88*(VLOOKUP(A88,[1]!TOX,12,FALSE))*10)+('GW-1 Exp'!$J$34*'GW-1 Derm'!Q88*(VLOOKUP(A88,[1]!TOX,12,FALSE))*3)+('GW-1 Exp'!$J$35*'GW-1 Derm'!Q88*(VLOOKUP(A88,[1]!TOX,12,FALSE))*3)+('GW-1 Exp'!$J$36*'GW-1 Derm'!Q88*(VLOOKUP(A88,[1]!TOX,12,FALSE))*1)))))))</f>
        <v>0</v>
      </c>
      <c r="AB88" s="838">
        <f>L88*IF('GW-1 Exp'!U$26&lt;=$E88,2*(VLOOKUP(A88,[1]!TOX,67,FALSE))*1*0.000001*SQRT(6*$C88*'GW-1 Exp'!$U$26/PI()),(VLOOKUP(A88,[1]!TOX,67,FALSE))*1*0.000001*('GW-1 Exp'!$U$26/(1+$B88)+2*$C88*(1+3*$B88+3*$B88^2)/(1+$B88)^2))</f>
        <v>6.7400059673282161E-8</v>
      </c>
      <c r="AC88" s="837">
        <f>L88*IF('GW-1 Exp'!U$27&lt;=$E88,2*(VLOOKUP(A88,[1]!TOX,67,FALSE))*1*0.000001*SQRT(6*$C88*'GW-1 Exp'!$U$27/PI()),(VLOOKUP(A88,[1]!TOX,67,FALSE))*1*0.000001*('GW-1 Exp'!$U$27/(1+$B88)+2*$C88*(1+3*$B88+3*$B88^2)/(1+$B88)^2))</f>
        <v>7.313510114509748E-8</v>
      </c>
      <c r="AD88" s="837">
        <f>L88*IF('GW-1 Exp'!U$28&lt;=$E88,2*(VLOOKUP(A88,[1]!TOX,67,FALSE))*1*0.000001*SQRT(6*$C88*'GW-1 Exp'!$U$28/PI()),(VLOOKUP(A88,[1]!TOX,67,FALSE))*1*0.000001*('GW-1 Exp'!$U$28/(1+$B88)+2*$C88*(1+3*$B88+3*$B88^2)/(1+$B88)^2))</f>
        <v>7.7038345244945264E-8</v>
      </c>
      <c r="AE88" s="839">
        <f>L88*IF('GW-1 Exp'!U$29&lt;=$E88,2*(VLOOKUP(A88,[1]!TOX,67,FALSE))*1*0.000001*SQRT(6*$C88*'GW-1 Exp'!$U$29/PI()),(VLOOKUP(A88,[1]!TOX,67,FALSE))*1*0.000001*('GW-1 Exp'!$U$29/(1+$B88)+2*$C88*(1+3*$B88+3*$B88^2)/(1+$B88)^2))</f>
        <v>8.9484153446538281E-8</v>
      </c>
    </row>
    <row r="89" spans="1:31" x14ac:dyDescent="0.25">
      <c r="A89" s="541" t="s">
        <v>237</v>
      </c>
      <c r="B89" s="587">
        <f>(VLOOKUP(A89,[1]!TOX,67,FALSE))*(SQRT((VLOOKUP(A89,[1]!TOX,57,FALSE)))/2.6)</f>
        <v>5.9085736522066206E-4</v>
      </c>
      <c r="C89" s="596">
        <f>('GW-1 Exp'!$O$29^2)/(6*D89)</f>
        <v>0.22503431594370663</v>
      </c>
      <c r="D89" s="486">
        <f>10^(-2.8-(0.0056*(VLOOKUP(A89,[1]!TOX,57,FALSE))))*'GW-1 Exp'!$O$29</f>
        <v>7.4062778366815445E-7</v>
      </c>
      <c r="E89" s="597">
        <f t="shared" si="5"/>
        <v>0.54008235826489592</v>
      </c>
      <c r="F89" s="597">
        <f>IF(B89&lt;=0.6,0,(G89-SQRT(G89^2-H89^2))*('GW-1 Exp'!$O$29^2/D89))</f>
        <v>0</v>
      </c>
      <c r="G89" s="582">
        <f t="shared" si="6"/>
        <v>0.30364494303658052</v>
      </c>
      <c r="H89" s="598">
        <f t="shared" si="7"/>
        <v>0.33372735454557112</v>
      </c>
      <c r="I89" s="854">
        <f>(VLOOKUP(A89,[1]!TOX,67,FALSE))*1*0.000001*'GW-1 Exp'!$U$13</f>
        <v>1.1857142857142858E-10</v>
      </c>
      <c r="J89" s="855">
        <f>(VLOOKUP(A89,[1]!TOX,67,FALSE))*1*0.000001*'GW-1 Exp'!$U$21</f>
        <v>1.5311111111111112E-10</v>
      </c>
      <c r="K89" s="482"/>
      <c r="L89" s="554">
        <v>1</v>
      </c>
      <c r="M89" s="481">
        <f t="shared" si="8"/>
        <v>1.1857142857142858E-10</v>
      </c>
      <c r="N89" s="483">
        <f t="shared" si="9"/>
        <v>1.5311111111111112E-10</v>
      </c>
      <c r="O89" s="486" t="str">
        <f>IF(VLOOKUP(A89,[1]!TOX,81,FALSE)="Y","Inorganic",IF(K89="*","Streamlined",IF($E89=0,"Reduced Steady State",IF('GW-1 Exp'!$U$13&lt;=$E89,"Non-Steady State","Steady State"))))</f>
        <v>Inorganic</v>
      </c>
      <c r="P89" s="485" t="str">
        <f>IF(VLOOKUP(A89,[1]!TOX,81,FALSE)="Y","Inorganic",IF(K89="*","Streamlined",IF($E89=0,0,IF('GW-1 Exp'!$U$21&lt;=$E89,"Non-Steady State","Steady State"))))</f>
        <v>Inorganic</v>
      </c>
      <c r="Q89" s="563">
        <f>IF(K89=0,0,IF((VLOOKUP(A89,[1]!TOX,67,FALSE))=0,0,IF((VLOOKUP(A89,[1]!TOX,67,FALSE))&lt;0.5,0.2,1)))</f>
        <v>0</v>
      </c>
      <c r="R89" s="614">
        <f>IF(K89=0,IF(M89=0,0,('[1]Target Risk'!$D$8*(VLOOKUP(A89,[1]!TOX,4,FALSE))*(VLOOKUP(A89,[1]!TOX,37,FALSE)))/('GW-1 Exp'!$V$13*'GW-1 Derm'!$M89)),('[1]Target Risk'!$D$8*(VLOOKUP(A89,[1]!TOX,4,FALSE))*(VLOOKUP(A89,[1]!TOX,37,FALSE)))/('GW-1 Exp'!$J$18*'GW-1 Derm'!$Q89))</f>
        <v>8306.312269263226</v>
      </c>
      <c r="S89" s="574">
        <f>IF(OR(VLOOKUP(A89,[1]!TOX,12,FALSE)=0,VLOOKUP(A89,[1]!TOX,38,FALSE)=0),0,IF(K89=0,('[1]Target Risk'!$D$12*(VLOOKUP(A89,[1]!TOX,38,FALSE)))/('GW-1 Exp'!$V$21*'GW-1 Derm'!N89*(VLOOKUP(A89,[1]!TOX,12,FALSE))),IF(Q89=0,0,('[1]Target Risk'!$D$12*(VLOOKUP(A89,[1]!TOX,38,FALSE)))/('GW-1 Exp'!$J$26*'GW-1 Derm'!Q89*(VLOOKUP(A89,[1]!TOX,12,FALSE))))))</f>
        <v>0</v>
      </c>
      <c r="T89" s="575">
        <f>IF(OR(VLOOKUP(A89,[1]!TOX,12,FALSE)=0,VLOOKUP(A89,[1]!TOX,38,FALSE)=0),0,IF(NOT(VLOOKUP(A89,[1]!TOX,36,FALSE)="M"), IF(K89=0,('[1]Target Risk'!$D$12*(VLOOKUP(A89,[1]!TOX,38,FALSE)))/('GW-1 Exp'!$V$21*'GW-1 Derm'!N89*(VLOOKUP(A89,[1]!TOX,12,FALSE))),IF(Q89=0,0,('[1]Target Risk'!$D$12*(VLOOKUP(A89,[1]!TOX,38,FALSE)))/('GW-1 Exp'!$J$26*'GW-1 Derm'!Q89*(VLOOKUP(A89,[1]!TOX,12,FALSE))))), IF(K89=0,('[1]Target Risk'!$D$12*(VLOOKUP(A89,[1]!TOX,38,FALSE)))/(('GW-1 Exp'!$V$26*'GW-1 Derm'!AB89*(VLOOKUP(A89,[1]!TOX,12,FALSE))*10)+('GW-1 Exp'!$V$27*'GW-1 Derm'!AC89*(VLOOKUP(A89,[1]!TOX,12,FALSE))*3)+('GW-1 Exp'!$V$28*'GW-1 Derm'!AD89*(VLOOKUP(A89,[1]!TOX,12,FALSE))*3)+('GW-1 Exp'!$V$29*'GW-1 Derm'!AE89*(VLOOKUP(A89,[1]!TOX,12,FALSE))*1)),IF(Q89=0,0,(('[1]Target Risk'!$D$12*(VLOOKUP(A89,[1]!TOX,38,FALSE)))/(('GW-1 Exp'!$J$33*'GW-1 Derm'!Q89*(VLOOKUP(A89,[1]!TOX,12,FALSE))*10)+('GW-1 Exp'!$J$34*'GW-1 Derm'!Q89*(VLOOKUP(A89,[1]!TOX,12,FALSE))*3)+('GW-1 Exp'!$J$35*'GW-1 Derm'!Q89*(VLOOKUP(A89,[1]!TOX,12,FALSE))*3)+('GW-1 Exp'!$J$36*'GW-1 Derm'!Q89*(VLOOKUP(A89,[1]!TOX,12,FALSE))*1)))))))</f>
        <v>0</v>
      </c>
      <c r="AB89" s="838">
        <f>L89*IF('GW-1 Exp'!U$26&lt;=$E89,2*(VLOOKUP(A89,[1]!TOX,67,FALSE))*1*0.000001*SQRT(6*$C89*'GW-1 Exp'!$U$26/PI()),(VLOOKUP(A89,[1]!TOX,67,FALSE))*1*0.000001*('GW-1 Exp'!$U$26/(1+$B89)+2*$C89*(1+3*$B89+3*$B89^2)/(1+$B89)^2))</f>
        <v>1.8849085165535826E-10</v>
      </c>
      <c r="AC89" s="837">
        <f>L89*IF('GW-1 Exp'!U$27&lt;=$E89,2*(VLOOKUP(A89,[1]!TOX,67,FALSE))*1*0.000001*SQRT(6*$C89*'GW-1 Exp'!$U$27/PI()),(VLOOKUP(A89,[1]!TOX,67,FALSE))*1*0.000001*('GW-1 Exp'!$U$27/(1+$B89)+2*$C89*(1+3*$B89+3*$B89^2)/(1+$B89)^2))</f>
        <v>2.1166173310296595E-10</v>
      </c>
      <c r="AD89" s="837">
        <f>L89*IF('GW-1 Exp'!U$28&lt;=$E89,2*(VLOOKUP(A89,[1]!TOX,67,FALSE))*1*0.000001*SQRT(6*$C89*'GW-1 Exp'!$U$28/PI()),(VLOOKUP(A89,[1]!TOX,67,FALSE))*1*0.000001*('GW-1 Exp'!$U$28/(1+$B89)+2*$C89*(1+3*$B89+3*$B89^2)/(1+$B89)^2))</f>
        <v>2.2498719299017999E-10</v>
      </c>
      <c r="AE89" s="839">
        <f>L89*IF('GW-1 Exp'!U$29&lt;=$E89,2*(VLOOKUP(A89,[1]!TOX,67,FALSE))*1*0.000001*SQRT(6*$C89*'GW-1 Exp'!$U$29/PI()),(VLOOKUP(A89,[1]!TOX,67,FALSE))*1*0.000001*('GW-1 Exp'!$U$29/(1+$B89)+2*$C89*(1+3*$B89+3*$B89^2)/(1+$B89)^2))</f>
        <v>2.7210221187711527E-10</v>
      </c>
    </row>
    <row r="90" spans="1:31" x14ac:dyDescent="0.25">
      <c r="A90" s="540" t="s">
        <v>238</v>
      </c>
      <c r="B90" s="587">
        <f>(VLOOKUP(A90,[1]!TOX,67,FALSE))*(SQRT((VLOOKUP(A90,[1]!TOX,57,FALSE)))/2.6)</f>
        <v>0.771023243009203</v>
      </c>
      <c r="C90" s="596">
        <f>('GW-1 Exp'!$O$29^2)/(6*D90)</f>
        <v>3.246749255484612</v>
      </c>
      <c r="D90" s="486">
        <f>10^(-2.8-(0.0056*(VLOOKUP(A90,[1]!TOX,57,FALSE))))*'GW-1 Exp'!$O$29</f>
        <v>5.1333396438028862E-8</v>
      </c>
      <c r="E90" s="597">
        <f t="shared" si="5"/>
        <v>12.509138855964895</v>
      </c>
      <c r="F90" s="597">
        <f>IF(B90&lt;=0.6,0,(G90-SQRT(G90^2-H90^2))*('GW-1 Exp'!$O$29^2/D90))</f>
        <v>12.509138855964895</v>
      </c>
      <c r="G90" s="582">
        <f t="shared" si="6"/>
        <v>1.0375344142848888</v>
      </c>
      <c r="H90" s="598">
        <f t="shared" si="7"/>
        <v>0.95923835235297195</v>
      </c>
      <c r="I90" s="606">
        <f>IF('GW-1 Exp'!$U$13&lt;=$E90,2*(VLOOKUP(A90,[1]!TOX,67,FALSE))*1*0.000001*SQRT(6*$C90*'GW-1 Exp'!$U$13/PI()),(VLOOKUP(A90,[1]!TOX,67,FALSE))*1*0.000001*('GW-1 Exp'!$U$13/(1+$B90)+2*$C90*(1+3*$B90+3*$B90^2)/(1+$B90)^2))</f>
        <v>4.713354311122994E-7</v>
      </c>
      <c r="J90" s="607">
        <f>IF('GW-1 Exp'!$U$21&lt;=$E90,2*(VLOOKUP(A90,[1]!TOX,67,FALSE))*1*0.000001*SQRT(6*$C90*'GW-1 Exp'!$U$21/PI()),(VLOOKUP(A90,[1]!TOX,67,FALSE))*1*0.000001*('GW-1 Exp'!$U$21/(1+$B90)+2*$C90*(1+3*$B90+3*$B90^2)/(1+$B90)^2))</f>
        <v>5.3560351137609241E-7</v>
      </c>
      <c r="K90" s="482" t="s">
        <v>91</v>
      </c>
      <c r="L90" s="554">
        <v>0.9</v>
      </c>
      <c r="M90" s="481">
        <f t="shared" si="8"/>
        <v>4.2420188800106945E-7</v>
      </c>
      <c r="N90" s="483">
        <f t="shared" si="9"/>
        <v>4.8204316023848315E-7</v>
      </c>
      <c r="O90" s="486" t="str">
        <f>IF(VLOOKUP(A90,[1]!TOX,81,FALSE)="Y","Inorganic",IF(K90="*","Streamlined",IF($E90=0,"Reduced Steady State",IF('GW-1 Exp'!$U$13&lt;=$E90,"Non-Steady State","Steady State"))))</f>
        <v>Streamlined</v>
      </c>
      <c r="P90" s="485" t="str">
        <f>IF(VLOOKUP(A90,[1]!TOX,81,FALSE)="Y","Inorganic",IF(K90="*","Streamlined",IF($E90=0,0,IF('GW-1 Exp'!$U$21&lt;=$E90,"Non-Steady State","Steady State"))))</f>
        <v>Streamlined</v>
      </c>
      <c r="Q90" s="563">
        <f>IF(K90=0,0,IF((VLOOKUP(A90,[1]!TOX,67,FALSE))=0,0,IF((VLOOKUP(A90,[1]!TOX,67,FALSE))&lt;0.5,0.2,1)))</f>
        <v>0.2</v>
      </c>
      <c r="R90" s="614">
        <f>IF(K90=0,IF(M90=0,0,('[1]Target Risk'!$D$8*(VLOOKUP(A90,[1]!TOX,4,FALSE))*(VLOOKUP(A90,[1]!TOX,37,FALSE)))/('GW-1 Exp'!$V$13*'GW-1 Derm'!$M90)),('[1]Target Risk'!$D$8*(VLOOKUP(A90,[1]!TOX,4,FALSE))*(VLOOKUP(A90,[1]!TOX,37,FALSE)))/('GW-1 Exp'!$J$18*'GW-1 Derm'!$Q90))</f>
        <v>72.987465659340671</v>
      </c>
      <c r="S90" s="574">
        <f>IF(OR(VLOOKUP(A90,[1]!TOX,12,FALSE)=0,VLOOKUP(A90,[1]!TOX,38,FALSE)=0),0,IF(K90=0,('[1]Target Risk'!$D$12*(VLOOKUP(A90,[1]!TOX,38,FALSE)))/('GW-1 Exp'!$V$21*'GW-1 Derm'!N90*(VLOOKUP(A90,[1]!TOX,12,FALSE))),IF(Q90=0,0,('[1]Target Risk'!$D$12*(VLOOKUP(A90,[1]!TOX,38,FALSE)))/('GW-1 Exp'!$J$26*'GW-1 Derm'!Q90*(VLOOKUP(A90,[1]!TOX,12,FALSE))))))</f>
        <v>0.62169998001177684</v>
      </c>
      <c r="T90" s="575">
        <f>IF(OR(VLOOKUP(A90,[1]!TOX,12,FALSE)=0,VLOOKUP(A90,[1]!TOX,38,FALSE)=0),0,IF(NOT(VLOOKUP(A90,[1]!TOX,36,FALSE)="M"), IF(K90=0,('[1]Target Risk'!$D$12*(VLOOKUP(A90,[1]!TOX,38,FALSE)))/('GW-1 Exp'!$V$21*'GW-1 Derm'!N90*(VLOOKUP(A90,[1]!TOX,12,FALSE))),IF(Q90=0,0,('[1]Target Risk'!$D$12*(VLOOKUP(A90,[1]!TOX,38,FALSE)))/('GW-1 Exp'!$J$26*'GW-1 Derm'!Q90*(VLOOKUP(A90,[1]!TOX,12,FALSE))))), IF(K90=0,('[1]Target Risk'!$D$12*(VLOOKUP(A90,[1]!TOX,38,FALSE)))/(('GW-1 Exp'!$V$26*'GW-1 Derm'!AB90*(VLOOKUP(A90,[1]!TOX,12,FALSE))*10)+('GW-1 Exp'!$V$27*'GW-1 Derm'!AC90*(VLOOKUP(A90,[1]!TOX,12,FALSE))*3)+('GW-1 Exp'!$V$28*'GW-1 Derm'!AD90*(VLOOKUP(A90,[1]!TOX,12,FALSE))*3)+('GW-1 Exp'!$V$29*'GW-1 Derm'!AE90*(VLOOKUP(A90,[1]!TOX,12,FALSE))*1)),IF(Q90=0,0,(('[1]Target Risk'!$D$12*(VLOOKUP(A90,[1]!TOX,38,FALSE)))/(('GW-1 Exp'!$J$33*'GW-1 Derm'!Q90*(VLOOKUP(A90,[1]!TOX,12,FALSE))*10)+('GW-1 Exp'!$J$34*'GW-1 Derm'!Q90*(VLOOKUP(A90,[1]!TOX,12,FALSE))*3)+('GW-1 Exp'!$J$35*'GW-1 Derm'!Q90*(VLOOKUP(A90,[1]!TOX,12,FALSE))*3)+('GW-1 Exp'!$J$36*'GW-1 Derm'!Q90*(VLOOKUP(A90,[1]!TOX,12,FALSE))*1)))))))</f>
        <v>0.62169998001177684</v>
      </c>
      <c r="AB90" s="838">
        <f>L90*IF('GW-1 Exp'!U$26&lt;=$E90,2*(VLOOKUP(A90,[1]!TOX,67,FALSE))*1*0.000001*SQRT(6*$C90*'GW-1 Exp'!$U$26/PI()),(VLOOKUP(A90,[1]!TOX,67,FALSE))*1*0.000001*('GW-1 Exp'!$U$26/(1+$B90)+2*$C90*(1+3*$B90+3*$B90^2)/(1+$B90)^2))</f>
        <v>3.9600693407511123E-7</v>
      </c>
      <c r="AC90" s="837">
        <f>L90*IF('GW-1 Exp'!U$27&lt;=$E90,2*(VLOOKUP(A90,[1]!TOX,67,FALSE))*1*0.000001*SQRT(6*$C90*'GW-1 Exp'!$U$27/PI()),(VLOOKUP(A90,[1]!TOX,67,FALSE))*1*0.000001*('GW-1 Exp'!$U$27/(1+$B90)+2*$C90*(1+3*$B90+3*$B90^2)/(1+$B90)^2))</f>
        <v>4.2970299014770675E-7</v>
      </c>
      <c r="AD90" s="837">
        <f>L90*IF('GW-1 Exp'!U$28&lt;=$E90,2*(VLOOKUP(A90,[1]!TOX,67,FALSE))*1*0.000001*SQRT(6*$C90*'GW-1 Exp'!$U$28/PI()),(VLOOKUP(A90,[1]!TOX,67,FALSE))*1*0.000001*('GW-1 Exp'!$U$28/(1+$B90)+2*$C90*(1+3*$B90+3*$B90^2)/(1+$B90)^2))</f>
        <v>4.5263637828445674E-7</v>
      </c>
      <c r="AE90" s="839">
        <f>L90*IF('GW-1 Exp'!U$29&lt;=$E90,2*(VLOOKUP(A90,[1]!TOX,67,FALSE))*1*0.000001*SQRT(6*$C90*'GW-1 Exp'!$U$29/PI()),(VLOOKUP(A90,[1]!TOX,67,FALSE))*1*0.000001*('GW-1 Exp'!$U$29/(1+$B90)+2*$C90*(1+3*$B90+3*$B90^2)/(1+$B90)^2))</f>
        <v>5.2576133354252263E-7</v>
      </c>
    </row>
    <row r="91" spans="1:31" ht="20" x14ac:dyDescent="0.25">
      <c r="A91" s="579" t="s">
        <v>940</v>
      </c>
      <c r="B91" s="587">
        <f>(VLOOKUP(A91,[1]!TOX,67,FALSE))*(SQRT((VLOOKUP(A91,[1]!TOX,57,FALSE)))/2.6)</f>
        <v>0</v>
      </c>
      <c r="C91" s="596">
        <f>('GW-1 Exp'!$O$29^2)/(6*D91)</f>
        <v>0.10515955741336554</v>
      </c>
      <c r="D91" s="486">
        <f>10^(-2.8-(0.0056*(VLOOKUP(A91,[1]!TOX,57,FALSE))))*'GW-1 Exp'!$O$29</f>
        <v>1.5848931924611134E-6</v>
      </c>
      <c r="E91" s="597">
        <f t="shared" si="5"/>
        <v>0</v>
      </c>
      <c r="F91" s="597">
        <f>IF(B91&lt;=0.6,0,(G91-SQRT(G91^2-H91^2))*('GW-1 Exp'!$O$29^2/D91))</f>
        <v>0</v>
      </c>
      <c r="G91" s="582">
        <f t="shared" si="6"/>
        <v>0.30328643903424807</v>
      </c>
      <c r="H91" s="598">
        <f t="shared" si="7"/>
        <v>0.33333333333333331</v>
      </c>
      <c r="I91" s="606">
        <f>IF('GW-1 Exp'!$U$13&lt;=$E91,2*(VLOOKUP(A91,[1]!TOX,67,FALSE))*1*0.000001*SQRT(6*$C91*'GW-1 Exp'!$U$13/PI()),(VLOOKUP(A91,[1]!TOX,67,FALSE))*1*0.000001*('GW-1 Exp'!$U$13/(1+$B91)+2*$C91*(1+3*$B91+3*$B91^2)/(1+$B91)^2))</f>
        <v>0</v>
      </c>
      <c r="J91" s="607">
        <f>IF('GW-1 Exp'!$U$21&lt;=$E91,2*(VLOOKUP(A91,[1]!TOX,67,FALSE))*1*0.000001*SQRT(6*$C91*'GW-1 Exp'!$U$21/PI()),(VLOOKUP(A91,[1]!TOX,67,FALSE))*1*0.000001*('GW-1 Exp'!$U$21/(1+$B91)+2*$C91*(1+3*$B91+3*$B91^2)/(1+$B91)^2))</f>
        <v>0</v>
      </c>
      <c r="K91" s="482"/>
      <c r="L91" s="554">
        <v>1</v>
      </c>
      <c r="M91" s="481">
        <f t="shared" si="8"/>
        <v>0</v>
      </c>
      <c r="N91" s="483">
        <f t="shared" si="9"/>
        <v>0</v>
      </c>
      <c r="O91" s="486" t="str">
        <f>IF(VLOOKUP(A91,[1]!TOX,81,FALSE)="Y","Inorganic",IF(K91="*","Streamlined",IF($E91=0,"Reduced Steady State",IF('GW-1 Exp'!$U$13&lt;=$E91,"Non-Steady State","Steady State"))))</f>
        <v>Reduced Steady State</v>
      </c>
      <c r="P91" s="485">
        <f>IF(VLOOKUP(A91,[1]!TOX,81,FALSE)="Y","Inorganic",IF(K91="*","Streamlined",IF($E91=0,0,IF('GW-1 Exp'!$U$21&lt;=$E91,"Non-Steady State","Steady State"))))</f>
        <v>0</v>
      </c>
      <c r="Q91" s="563">
        <f>IF(K91=0,0,IF((VLOOKUP(A91,[1]!TOX,67,FALSE))=0,0,IF((VLOOKUP(A91,[1]!TOX,67,FALSE))&lt;0.5,0.2,1)))</f>
        <v>0</v>
      </c>
      <c r="R91" s="614">
        <f>IF(K91=0,IF(M91=0,0,('[1]Target Risk'!$D$8*(VLOOKUP(A91,[1]!TOX,4,FALSE))*(VLOOKUP(A91,[1]!TOX,37,FALSE)))/('GW-1 Exp'!$V$13*'GW-1 Derm'!$M91)),('[1]Target Risk'!$D$8*(VLOOKUP(A91,[1]!TOX,4,FALSE))*(VLOOKUP(A91,[1]!TOX,37,FALSE)))/('GW-1 Exp'!$J$18*'GW-1 Derm'!$Q91))</f>
        <v>0</v>
      </c>
      <c r="S91" s="574">
        <f>IF(OR(VLOOKUP(A91,[1]!TOX,12,FALSE)=0,VLOOKUP(A91,[1]!TOX,38,FALSE)=0),0,IF(K91=0,('[1]Target Risk'!$D$12*(VLOOKUP(A91,[1]!TOX,38,FALSE)))/('GW-1 Exp'!$V$21*'GW-1 Derm'!N91*(VLOOKUP(A91,[1]!TOX,12,FALSE))),IF(Q91=0,0,('[1]Target Risk'!$D$12*(VLOOKUP(A91,[1]!TOX,38,FALSE)))/('GW-1 Exp'!$J$26*'GW-1 Derm'!Q91*(VLOOKUP(A91,[1]!TOX,12,FALSE))))))</f>
        <v>0</v>
      </c>
      <c r="T91" s="575">
        <f>IF(OR(VLOOKUP(A91,[1]!TOX,12,FALSE)=0,VLOOKUP(A91,[1]!TOX,38,FALSE)=0),0,IF(NOT(VLOOKUP(A91,[1]!TOX,36,FALSE)="M"), IF(K91=0,('[1]Target Risk'!$D$12*(VLOOKUP(A91,[1]!TOX,38,FALSE)))/('GW-1 Exp'!$V$21*'GW-1 Derm'!N91*(VLOOKUP(A91,[1]!TOX,12,FALSE))),IF(Q91=0,0,('[1]Target Risk'!$D$12*(VLOOKUP(A91,[1]!TOX,38,FALSE)))/('GW-1 Exp'!$J$26*'GW-1 Derm'!Q91*(VLOOKUP(A91,[1]!TOX,12,FALSE))))), IF(K91=0,('[1]Target Risk'!$D$12*(VLOOKUP(A91,[1]!TOX,38,FALSE)))/(('GW-1 Exp'!$V$26*'GW-1 Derm'!AB91*(VLOOKUP(A91,[1]!TOX,12,FALSE))*10)+('GW-1 Exp'!$V$27*'GW-1 Derm'!AC91*(VLOOKUP(A91,[1]!TOX,12,FALSE))*3)+('GW-1 Exp'!$V$28*'GW-1 Derm'!AD91*(VLOOKUP(A91,[1]!TOX,12,FALSE))*3)+('GW-1 Exp'!$V$29*'GW-1 Derm'!AE91*(VLOOKUP(A91,[1]!TOX,12,FALSE))*1)),IF(Q91=0,0,(('[1]Target Risk'!$D$12*(VLOOKUP(A91,[1]!TOX,38,FALSE)))/(('GW-1 Exp'!$J$33*'GW-1 Derm'!Q91*(VLOOKUP(A91,[1]!TOX,12,FALSE))*10)+('GW-1 Exp'!$J$34*'GW-1 Derm'!Q91*(VLOOKUP(A91,[1]!TOX,12,FALSE))*3)+('GW-1 Exp'!$J$35*'GW-1 Derm'!Q91*(VLOOKUP(A91,[1]!TOX,12,FALSE))*3)+('GW-1 Exp'!$J$36*'GW-1 Derm'!Q91*(VLOOKUP(A91,[1]!TOX,12,FALSE))*1)))))))</f>
        <v>0</v>
      </c>
      <c r="AB91" s="838">
        <f>L91*IF('GW-1 Exp'!U$26&lt;=$E91,2*(VLOOKUP(A91,[1]!TOX,67,FALSE))*1*0.000001*SQRT(6*$C91*'GW-1 Exp'!$U$26/PI()),(VLOOKUP(A91,[1]!TOX,67,FALSE))*1*0.000001*('GW-1 Exp'!$U$26/(1+$B91)+2*$C91*(1+3*$B91+3*$B91^2)/(1+$B91)^2))</f>
        <v>0</v>
      </c>
      <c r="AC91" s="837">
        <f>L91*IF('GW-1 Exp'!U$27&lt;=$E91,2*(VLOOKUP(A91,[1]!TOX,67,FALSE))*1*0.000001*SQRT(6*$C91*'GW-1 Exp'!$U$27/PI()),(VLOOKUP(A91,[1]!TOX,67,FALSE))*1*0.000001*('GW-1 Exp'!$U$27/(1+$B91)+2*$C91*(1+3*$B91+3*$B91^2)/(1+$B91)^2))</f>
        <v>0</v>
      </c>
      <c r="AD91" s="837">
        <f>L91*IF('GW-1 Exp'!U$28&lt;=$E91,2*(VLOOKUP(A91,[1]!TOX,67,FALSE))*1*0.000001*SQRT(6*$C91*'GW-1 Exp'!$U$28/PI()),(VLOOKUP(A91,[1]!TOX,67,FALSE))*1*0.000001*('GW-1 Exp'!$U$28/(1+$B91)+2*$C91*(1+3*$B91+3*$B91^2)/(1+$B91)^2))</f>
        <v>0</v>
      </c>
      <c r="AE91" s="839">
        <f>L91*IF('GW-1 Exp'!U$29&lt;=$E91,2*(VLOOKUP(A91,[1]!TOX,67,FALSE))*1*0.000001*SQRT(6*$C91*'GW-1 Exp'!$U$29/PI()),(VLOOKUP(A91,[1]!TOX,67,FALSE))*1*0.000001*('GW-1 Exp'!$U$29/(1+$B91)+2*$C91*(1+3*$B91+3*$B91^2)/(1+$B91)^2))</f>
        <v>0</v>
      </c>
    </row>
    <row r="92" spans="1:31" ht="20" x14ac:dyDescent="0.25">
      <c r="A92" s="579" t="s">
        <v>949</v>
      </c>
      <c r="B92" s="587"/>
      <c r="C92" s="596">
        <f>('GW-1 Exp'!$O$29^2)/(6*D92)</f>
        <v>79.478333016963106</v>
      </c>
      <c r="D92" s="486">
        <f>10^(-2.8-(0.0056*(VLOOKUP(A92,[1]!TOX,57,FALSE))))*'GW-1 Exp'!$O$29</f>
        <v>2.0970075785446443E-9</v>
      </c>
      <c r="E92" s="597">
        <f t="shared" si="5"/>
        <v>0</v>
      </c>
      <c r="F92" s="597">
        <f>IF(B92&lt;=0.6,0,(G92-SQRT(G92^2-H92^2))*('GW-1 Exp'!$O$29^2/D92))</f>
        <v>0</v>
      </c>
      <c r="G92" s="582">
        <f t="shared" si="6"/>
        <v>0.30328643903424807</v>
      </c>
      <c r="H92" s="598">
        <f t="shared" si="7"/>
        <v>0.33333333333333331</v>
      </c>
      <c r="I92" s="606"/>
      <c r="J92" s="607">
        <f>IF('GW-1 Exp'!$U$21&lt;=$E92,2*(VLOOKUP(A92,[1]!TOX,67,FALSE))*1*0.000001*SQRT(6*$C92*'GW-1 Exp'!$U$21/PI()),(VLOOKUP(A92,[1]!TOX,67,FALSE))*1*0.000001*('GW-1 Exp'!$U$21/(1+$B92)+2*$C92*(1+3*$B92+3*$B92^2)/(1+$B92)^2))</f>
        <v>0</v>
      </c>
      <c r="K92" s="482"/>
      <c r="L92" s="554">
        <v>1</v>
      </c>
      <c r="M92" s="481">
        <f t="shared" si="8"/>
        <v>0</v>
      </c>
      <c r="N92" s="483">
        <f t="shared" si="9"/>
        <v>0</v>
      </c>
      <c r="O92" s="486" t="str">
        <f>IF(VLOOKUP(A92,[1]!TOX,81,FALSE)="Y","Inorganic",IF(K92="*","Streamlined",IF($E92=0,"Reduced Steady State",IF('GW-1 Exp'!$U$13&lt;=$E92,"Non-Steady State","Steady State"))))</f>
        <v>Reduced Steady State</v>
      </c>
      <c r="P92" s="485">
        <f>IF(VLOOKUP(A92,[1]!TOX,81,FALSE)="Y","Inorganic",IF(K92="*","Streamlined",IF($E92=0,0,IF('GW-1 Exp'!$U$21&lt;=$E92,"Non-Steady State","Steady State"))))</f>
        <v>0</v>
      </c>
      <c r="Q92" s="563"/>
      <c r="R92" s="614">
        <f>IF(K92=0,IF(M92=0,0,('[1]Target Risk'!$D$8*(VLOOKUP(A92,[1]!TOX,4,FALSE))*(VLOOKUP(A92,[1]!TOX,37,FALSE)))/('GW-1 Exp'!$V$13*'GW-1 Derm'!$M92)),('[1]Target Risk'!$D$8*(VLOOKUP(A92,[1]!TOX,4,FALSE))*(VLOOKUP(A92,[1]!TOX,37,FALSE)))/('GW-1 Exp'!$J$18*'GW-1 Derm'!$Q92))</f>
        <v>0</v>
      </c>
      <c r="S92" s="574">
        <f>IF(OR(VLOOKUP(A92,[1]!TOX,12,FALSE)=0,VLOOKUP(A92,[1]!TOX,38,FALSE)=0),0,IF(K92=0,('[1]Target Risk'!$D$12*(VLOOKUP(A92,[1]!TOX,38,FALSE)))/('GW-1 Exp'!$V$21*'GW-1 Derm'!N92*(VLOOKUP(A92,[1]!TOX,12,FALSE))),IF(Q92=0,0,('[1]Target Risk'!$D$12*(VLOOKUP(A92,[1]!TOX,38,FALSE)))/('GW-1 Exp'!$J$26*'GW-1 Derm'!Q92*(VLOOKUP(A92,[1]!TOX,12,FALSE))))))</f>
        <v>0</v>
      </c>
      <c r="T92" s="575">
        <f>IF(OR(VLOOKUP(A92,[1]!TOX,12,FALSE)=0,VLOOKUP(A92,[1]!TOX,38,FALSE)=0),0,IF(NOT(VLOOKUP(A92,[1]!TOX,36,FALSE)="M"), IF(K92=0,('[1]Target Risk'!$D$12*(VLOOKUP(A92,[1]!TOX,38,FALSE)))/('GW-1 Exp'!$V$21*'GW-1 Derm'!N92*(VLOOKUP(A92,[1]!TOX,12,FALSE))),IF(Q92=0,0,('[1]Target Risk'!$D$12*(VLOOKUP(A92,[1]!TOX,38,FALSE)))/('GW-1 Exp'!$J$26*'GW-1 Derm'!Q92*(VLOOKUP(A92,[1]!TOX,12,FALSE))))), IF(K92=0,('[1]Target Risk'!$D$12*(VLOOKUP(A92,[1]!TOX,38,FALSE)))/(('GW-1 Exp'!$V$26*'GW-1 Derm'!AB92*(VLOOKUP(A92,[1]!TOX,12,FALSE))*10)+('GW-1 Exp'!$V$27*'GW-1 Derm'!AC92*(VLOOKUP(A92,[1]!TOX,12,FALSE))*3)+('GW-1 Exp'!$V$28*'GW-1 Derm'!AD92*(VLOOKUP(A92,[1]!TOX,12,FALSE))*3)+('GW-1 Exp'!$V$29*'GW-1 Derm'!AE92*(VLOOKUP(A92,[1]!TOX,12,FALSE))*1)),IF(Q92=0,0,(('[1]Target Risk'!$D$12*(VLOOKUP(A92,[1]!TOX,38,FALSE)))/(('GW-1 Exp'!$J$33*'GW-1 Derm'!Q92*(VLOOKUP(A92,[1]!TOX,12,FALSE))*10)+('GW-1 Exp'!$J$34*'GW-1 Derm'!Q92*(VLOOKUP(A92,[1]!TOX,12,FALSE))*3)+('GW-1 Exp'!$J$35*'GW-1 Derm'!Q92*(VLOOKUP(A92,[1]!TOX,12,FALSE))*3)+('GW-1 Exp'!$J$36*'GW-1 Derm'!Q92*(VLOOKUP(A92,[1]!TOX,12,FALSE))*1)))))))</f>
        <v>0</v>
      </c>
      <c r="AB92" s="838">
        <f>L92*IF('GW-1 Exp'!U$26&lt;=$E92,2*(VLOOKUP(A92,[1]!TOX,67,FALSE))*1*0.000001*SQRT(6*$C92*'GW-1 Exp'!$U$26/PI()),(VLOOKUP(A92,[1]!TOX,67,FALSE))*1*0.000001*('GW-1 Exp'!$U$26/(1+$B92)+2*$C92*(1+3*$B92+3*$B92^2)/(1+$B92)^2))</f>
        <v>0</v>
      </c>
      <c r="AC92" s="837">
        <f>L92*IF('GW-1 Exp'!U$27&lt;=$E92,2*(VLOOKUP(A92,[1]!TOX,67,FALSE))*1*0.000001*SQRT(6*$C92*'GW-1 Exp'!$U$27/PI()),(VLOOKUP(A92,[1]!TOX,67,FALSE))*1*0.000001*('GW-1 Exp'!$U$27/(1+$B92)+2*$C92*(1+3*$B92+3*$B92^2)/(1+$B92)^2))</f>
        <v>0</v>
      </c>
      <c r="AD92" s="837">
        <f>L92*IF('GW-1 Exp'!U$28&lt;=$E92,2*(VLOOKUP(A92,[1]!TOX,67,FALSE))*1*0.000001*SQRT(6*$C92*'GW-1 Exp'!$U$28/PI()),(VLOOKUP(A92,[1]!TOX,67,FALSE))*1*0.000001*('GW-1 Exp'!$U$28/(1+$B92)+2*$C92*(1+3*$B92+3*$B92^2)/(1+$B92)^2))</f>
        <v>0</v>
      </c>
      <c r="AE92" s="839">
        <f>L92*IF('GW-1 Exp'!U$29&lt;=$E92,2*(VLOOKUP(A92,[1]!TOX,67,FALSE))*1*0.000001*SQRT(6*$C92*'GW-1 Exp'!$U$29/PI()),(VLOOKUP(A92,[1]!TOX,67,FALSE))*1*0.000001*('GW-1 Exp'!$U$29/(1+$B92)+2*$C92*(1+3*$B92+3*$B92^2)/(1+$B92)^2))</f>
        <v>0</v>
      </c>
    </row>
    <row r="93" spans="1:31" ht="23" x14ac:dyDescent="0.25">
      <c r="A93" s="540" t="s">
        <v>891</v>
      </c>
      <c r="B93" s="587">
        <f>(VLOOKUP(A93,[1]!TOX,67,FALSE))*(SQRT((VLOOKUP(A93,[1]!TOX,57,FALSE)))/2.6)</f>
        <v>0</v>
      </c>
      <c r="C93" s="596">
        <f>('GW-1 Exp'!$O$29^2)/(6*D93)</f>
        <v>11.48811434553075</v>
      </c>
      <c r="D93" s="486">
        <f>10^(-2.8-(0.0056*(VLOOKUP(A93,[1]!TOX,57,FALSE))))*'GW-1 Exp'!$O$29</f>
        <v>1.4507747890889109E-8</v>
      </c>
      <c r="E93" s="597">
        <f t="shared" si="5"/>
        <v>0</v>
      </c>
      <c r="F93" s="597">
        <f>IF(B93&lt;=0.6,0,(G93-SQRT(G93^2-H93^2))*('GW-1 Exp'!$O$29^2/D93))</f>
        <v>0</v>
      </c>
      <c r="G93" s="582">
        <f t="shared" ref="G93:G97" si="10">(2*(1+B93)^2/PI())-H93</f>
        <v>0.30328643903424807</v>
      </c>
      <c r="H93" s="598">
        <f t="shared" ref="H93:H97" si="11">(1+ (3*B93) + 3*B93^2)/(3*(1+B93))</f>
        <v>0.33333333333333331</v>
      </c>
      <c r="I93" s="606">
        <f>IF('GW-1 Exp'!$U$13&lt;=$E93,2*(VLOOKUP(A93,[1]!TOX,67,FALSE))*1*0.000001*SQRT(6*$C93*'GW-1 Exp'!$U$13/PI()),(VLOOKUP(A93,[1]!TOX,67,FALSE))*1*0.000001*('GW-1 Exp'!$U$13/(1+$B93)+2*$C93*(1+3*$B93+3*$B93^2)/(1+$B93)^2))</f>
        <v>0</v>
      </c>
      <c r="J93" s="607">
        <f>IF('GW-1 Exp'!$U$21&lt;=$E93,2*(VLOOKUP(A93,[1]!TOX,67,FALSE))*1*0.000001*SQRT(6*$C93*'GW-1 Exp'!$U$21/PI()),(VLOOKUP(A93,[1]!TOX,67,FALSE))*1*0.000001*('GW-1 Exp'!$U$21/(1+$B93)+2*$C93*(1+3*$B93+3*$B93^2)/(1+$B93)^2))</f>
        <v>0</v>
      </c>
      <c r="K93" s="482"/>
      <c r="L93" s="554">
        <v>1</v>
      </c>
      <c r="M93" s="481">
        <f t="shared" si="8"/>
        <v>0</v>
      </c>
      <c r="N93" s="483">
        <f t="shared" si="9"/>
        <v>0</v>
      </c>
      <c r="O93" s="486" t="str">
        <f>IF(VLOOKUP(A93,[1]!TOX,81,FALSE)="Y","Inorganic",IF(K93="*","Streamlined",IF($E93=0,"Reduced Steady State",IF('GW-1 Exp'!$U$13&lt;=$E93,"Non-Steady State","Steady State"))))</f>
        <v>Reduced Steady State</v>
      </c>
      <c r="P93" s="485">
        <f>IF(VLOOKUP(A93,[1]!TOX,81,FALSE)="Y","Inorganic",IF(K93="*","Streamlined",IF($E93=0,0,IF('GW-1 Exp'!$U$21&lt;=$E93,"Non-Steady State","Steady State"))))</f>
        <v>0</v>
      </c>
      <c r="Q93" s="563">
        <f>IF(K93=0,0,IF((VLOOKUP(A93,[1]!TOX,67,FALSE))=0,0,IF((VLOOKUP(A93,[1]!TOX,67,FALSE))&lt;0.5,0.2,1)))</f>
        <v>0</v>
      </c>
      <c r="R93" s="614">
        <f>IF(K93=0,IF(M93=0,0,('[1]Target Risk'!$D$8*(VLOOKUP(A93,[1]!TOX,4,FALSE))*(VLOOKUP(A93,[1]!TOX,37,FALSE)))/('GW-1 Exp'!$V$13*'GW-1 Derm'!$M93)),('[1]Target Risk'!$D$8*(VLOOKUP(A93,[1]!TOX,4,FALSE))*(VLOOKUP(A93,[1]!TOX,37,FALSE)))/('GW-1 Exp'!$J$18*'GW-1 Derm'!$Q93))</f>
        <v>0</v>
      </c>
      <c r="S93" s="574">
        <f>IF(OR(VLOOKUP(A93,[1]!TOX,12,FALSE)=0,VLOOKUP(A93,[1]!TOX,38,FALSE)=0),0,IF(K93=0,('[1]Target Risk'!$D$12*(VLOOKUP(A93,[1]!TOX,38,FALSE)))/('GW-1 Exp'!$V$21*'GW-1 Derm'!N93*(VLOOKUP(A93,[1]!TOX,12,FALSE))),IF(Q93=0,0,('[1]Target Risk'!$D$12*(VLOOKUP(A93,[1]!TOX,38,FALSE)))/('GW-1 Exp'!$J$26*'GW-1 Derm'!Q93*(VLOOKUP(A93,[1]!TOX,12,FALSE))))))</f>
        <v>0</v>
      </c>
      <c r="T93" s="575">
        <f>IF(OR(VLOOKUP(A93,[1]!TOX,12,FALSE)=0,VLOOKUP(A93,[1]!TOX,38,FALSE)=0),0,IF(NOT(VLOOKUP(A93,[1]!TOX,36,FALSE)="M"), IF(K93=0,('[1]Target Risk'!$D$12*(VLOOKUP(A93,[1]!TOX,38,FALSE)))/('GW-1 Exp'!$V$21*'GW-1 Derm'!N93*(VLOOKUP(A93,[1]!TOX,12,FALSE))),IF(Q93=0,0,('[1]Target Risk'!$D$12*(VLOOKUP(A93,[1]!TOX,38,FALSE)))/('GW-1 Exp'!$J$26*'GW-1 Derm'!Q93*(VLOOKUP(A93,[1]!TOX,12,FALSE))))), IF(K93=0,('[1]Target Risk'!$D$12*(VLOOKUP(A93,[1]!TOX,38,FALSE)))/(('GW-1 Exp'!$V$26*'GW-1 Derm'!AB93*(VLOOKUP(A93,[1]!TOX,12,FALSE))*10)+('GW-1 Exp'!$V$27*'GW-1 Derm'!AC93*(VLOOKUP(A93,[1]!TOX,12,FALSE))*3)+('GW-1 Exp'!$V$28*'GW-1 Derm'!AD93*(VLOOKUP(A93,[1]!TOX,12,FALSE))*3)+('GW-1 Exp'!$V$29*'GW-1 Derm'!AE93*(VLOOKUP(A93,[1]!TOX,12,FALSE))*1)),IF(Q93=0,0,(('[1]Target Risk'!$D$12*(VLOOKUP(A93,[1]!TOX,38,FALSE)))/(('GW-1 Exp'!$J$33*'GW-1 Derm'!Q93*(VLOOKUP(A93,[1]!TOX,12,FALSE))*10)+('GW-1 Exp'!$J$34*'GW-1 Derm'!Q93*(VLOOKUP(A93,[1]!TOX,12,FALSE))*3)+('GW-1 Exp'!$J$35*'GW-1 Derm'!Q93*(VLOOKUP(A93,[1]!TOX,12,FALSE))*3)+('GW-1 Exp'!$J$36*'GW-1 Derm'!Q93*(VLOOKUP(A93,[1]!TOX,12,FALSE))*1)))))))</f>
        <v>0</v>
      </c>
      <c r="AB93" s="838">
        <f>L93*IF('GW-1 Exp'!U$26&lt;=$E93,2*(VLOOKUP(A93,[1]!TOX,67,FALSE))*1*0.000001*SQRT(6*$C93*'GW-1 Exp'!$U$26/PI()),(VLOOKUP(A93,[1]!TOX,67,FALSE))*1*0.000001*('GW-1 Exp'!$U$26/(1+$B93)+2*$C93*(1+3*$B93+3*$B93^2)/(1+$B93)^2))</f>
        <v>0</v>
      </c>
      <c r="AC93" s="837">
        <f>L93*IF('GW-1 Exp'!U$27&lt;=$E93,2*(VLOOKUP(A93,[1]!TOX,67,FALSE))*1*0.000001*SQRT(6*$C93*'GW-1 Exp'!$U$27/PI()),(VLOOKUP(A93,[1]!TOX,67,FALSE))*1*0.000001*('GW-1 Exp'!$U$27/(1+$B93)+2*$C93*(1+3*$B93+3*$B93^2)/(1+$B93)^2))</f>
        <v>0</v>
      </c>
      <c r="AD93" s="837">
        <f>L93*IF('GW-1 Exp'!U$28&lt;=$E93,2*(VLOOKUP(A93,[1]!TOX,67,FALSE))*1*0.000001*SQRT(6*$C93*'GW-1 Exp'!$U$28/PI()),(VLOOKUP(A93,[1]!TOX,67,FALSE))*1*0.000001*('GW-1 Exp'!$U$28/(1+$B93)+2*$C93*(1+3*$B93+3*$B93^2)/(1+$B93)^2))</f>
        <v>0</v>
      </c>
      <c r="AE93" s="839">
        <f>L93*IF('GW-1 Exp'!U$29&lt;=$E93,2*(VLOOKUP(A93,[1]!TOX,67,FALSE))*1*0.000001*SQRT(6*$C93*'GW-1 Exp'!$U$29/PI()),(VLOOKUP(A93,[1]!TOX,67,FALSE))*1*0.000001*('GW-1 Exp'!$U$29/(1+$B93)+2*$C93*(1+3*$B93+3*$B93^2)/(1+$B93)^2))</f>
        <v>0</v>
      </c>
    </row>
    <row r="94" spans="1:31" ht="23" x14ac:dyDescent="0.25">
      <c r="A94" s="540" t="s">
        <v>892</v>
      </c>
      <c r="B94" s="587">
        <f>(VLOOKUP(A94,[1]!TOX,67,FALSE))*(SQRT((VLOOKUP(A94,[1]!TOX,57,FALSE)))/2.6)</f>
        <v>0</v>
      </c>
      <c r="C94" s="596">
        <f>('GW-1 Exp'!$O$29^2)/(6*D94)</f>
        <v>18.274636602386412</v>
      </c>
      <c r="D94" s="486">
        <f>10^(-2.8-(0.0056*(VLOOKUP(A94,[1]!TOX,57,FALSE))))*'GW-1 Exp'!$O$29</f>
        <v>9.1201083935591E-9</v>
      </c>
      <c r="E94" s="597">
        <f t="shared" si="5"/>
        <v>0</v>
      </c>
      <c r="F94" s="597">
        <f>IF(B94&lt;=0.6,0,(G94-SQRT(G94^2-H94^2))*('GW-1 Exp'!$O$29^2/D94))</f>
        <v>0</v>
      </c>
      <c r="G94" s="582">
        <f t="shared" si="10"/>
        <v>0.30328643903424807</v>
      </c>
      <c r="H94" s="598">
        <f t="shared" si="11"/>
        <v>0.33333333333333331</v>
      </c>
      <c r="I94" s="606">
        <f>IF('GW-1 Exp'!$U$13&lt;=$E94,2*(VLOOKUP(A94,[1]!TOX,67,FALSE))*1*0.000001*SQRT(6*$C94*'GW-1 Exp'!$U$13/PI()),(VLOOKUP(A94,[1]!TOX,67,FALSE))*1*0.000001*('GW-1 Exp'!$U$13/(1+$B94)+2*$C94*(1+3*$B94+3*$B94^2)/(1+$B94)^2))</f>
        <v>0</v>
      </c>
      <c r="J94" s="607">
        <f>IF('GW-1 Exp'!$U$21&lt;=$E94,2*(VLOOKUP(A94,[1]!TOX,67,FALSE))*1*0.000001*SQRT(6*$C94*'GW-1 Exp'!$U$21/PI()),(VLOOKUP(A94,[1]!TOX,67,FALSE))*1*0.000001*('GW-1 Exp'!$U$21/(1+$B94)+2*$C94*(1+3*$B94+3*$B94^2)/(1+$B94)^2))</f>
        <v>0</v>
      </c>
      <c r="K94" s="482"/>
      <c r="L94" s="554">
        <v>1</v>
      </c>
      <c r="M94" s="481">
        <f t="shared" si="8"/>
        <v>0</v>
      </c>
      <c r="N94" s="483">
        <f t="shared" si="9"/>
        <v>0</v>
      </c>
      <c r="O94" s="486" t="str">
        <f>IF(VLOOKUP(A94,[1]!TOX,81,FALSE)="Y","Inorganic",IF(K94="*","Streamlined",IF($E94=0,"Reduced Steady State",IF('GW-1 Exp'!$U$13&lt;=$E94,"Non-Steady State","Steady State"))))</f>
        <v>Reduced Steady State</v>
      </c>
      <c r="P94" s="485">
        <f>IF(VLOOKUP(A94,[1]!TOX,81,FALSE)="Y","Inorganic",IF(K94="*","Streamlined",IF($E94=0,0,IF('GW-1 Exp'!$U$21&lt;=$E94,"Non-Steady State","Steady State"))))</f>
        <v>0</v>
      </c>
      <c r="Q94" s="563">
        <f>IF(K94=0,0,IF((VLOOKUP(A94,[1]!TOX,67,FALSE))=0,0,IF((VLOOKUP(A94,[1]!TOX,67,FALSE))&lt;0.5,0.2,1)))</f>
        <v>0</v>
      </c>
      <c r="R94" s="614">
        <f>IF(K94=0,IF(M94=0,0,('[1]Target Risk'!$D$8*(VLOOKUP(A94,[1]!TOX,4,FALSE))*(VLOOKUP(A94,[1]!TOX,37,FALSE)))/('GW-1 Exp'!$V$13*'GW-1 Derm'!$M94)),('[1]Target Risk'!$D$8*(VLOOKUP(A94,[1]!TOX,4,FALSE))*(VLOOKUP(A94,[1]!TOX,37,FALSE)))/('GW-1 Exp'!$J$18*'GW-1 Derm'!$Q94))</f>
        <v>0</v>
      </c>
      <c r="S94" s="574">
        <f>IF(OR(VLOOKUP(A94,[1]!TOX,12,FALSE)=0,VLOOKUP(A94,[1]!TOX,38,FALSE)=0),0,IF(K94=0,('[1]Target Risk'!$D$12*(VLOOKUP(A94,[1]!TOX,38,FALSE)))/('GW-1 Exp'!$V$21*'GW-1 Derm'!N94*(VLOOKUP(A94,[1]!TOX,12,FALSE))),IF(Q94=0,0,('[1]Target Risk'!$D$12*(VLOOKUP(A94,[1]!TOX,38,FALSE)))/('GW-1 Exp'!$J$26*'GW-1 Derm'!Q94*(VLOOKUP(A94,[1]!TOX,12,FALSE))))))</f>
        <v>0</v>
      </c>
      <c r="T94" s="575">
        <f>IF(OR(VLOOKUP(A94,[1]!TOX,12,FALSE)=0,VLOOKUP(A94,[1]!TOX,38,FALSE)=0),0,IF(NOT(VLOOKUP(A94,[1]!TOX,36,FALSE)="M"), IF(K94=0,('[1]Target Risk'!$D$12*(VLOOKUP(A94,[1]!TOX,38,FALSE)))/('GW-1 Exp'!$V$21*'GW-1 Derm'!N94*(VLOOKUP(A94,[1]!TOX,12,FALSE))),IF(Q94=0,0,('[1]Target Risk'!$D$12*(VLOOKUP(A94,[1]!TOX,38,FALSE)))/('GW-1 Exp'!$J$26*'GW-1 Derm'!Q94*(VLOOKUP(A94,[1]!TOX,12,FALSE))))), IF(K94=0,('[1]Target Risk'!$D$12*(VLOOKUP(A94,[1]!TOX,38,FALSE)))/(('GW-1 Exp'!$V$26*'GW-1 Derm'!AB94*(VLOOKUP(A94,[1]!TOX,12,FALSE))*10)+('GW-1 Exp'!$V$27*'GW-1 Derm'!AC94*(VLOOKUP(A94,[1]!TOX,12,FALSE))*3)+('GW-1 Exp'!$V$28*'GW-1 Derm'!AD94*(VLOOKUP(A94,[1]!TOX,12,FALSE))*3)+('GW-1 Exp'!$V$29*'GW-1 Derm'!AE94*(VLOOKUP(A94,[1]!TOX,12,FALSE))*1)),IF(Q94=0,0,(('[1]Target Risk'!$D$12*(VLOOKUP(A94,[1]!TOX,38,FALSE)))/(('GW-1 Exp'!$J$33*'GW-1 Derm'!Q94*(VLOOKUP(A94,[1]!TOX,12,FALSE))*10)+('GW-1 Exp'!$J$34*'GW-1 Derm'!Q94*(VLOOKUP(A94,[1]!TOX,12,FALSE))*3)+('GW-1 Exp'!$J$35*'GW-1 Derm'!Q94*(VLOOKUP(A94,[1]!TOX,12,FALSE))*3)+('GW-1 Exp'!$J$36*'GW-1 Derm'!Q94*(VLOOKUP(A94,[1]!TOX,12,FALSE))*1)))))))</f>
        <v>0</v>
      </c>
      <c r="AB94" s="838">
        <f>L94*IF('GW-1 Exp'!U$26&lt;=$E94,2*(VLOOKUP(A94,[1]!TOX,67,FALSE))*1*0.000001*SQRT(6*$C94*'GW-1 Exp'!$U$26/PI()),(VLOOKUP(A94,[1]!TOX,67,FALSE))*1*0.000001*('GW-1 Exp'!$U$26/(1+$B94)+2*$C94*(1+3*$B94+3*$B94^2)/(1+$B94)^2))</f>
        <v>0</v>
      </c>
      <c r="AC94" s="837">
        <f>L94*IF('GW-1 Exp'!U$27&lt;=$E94,2*(VLOOKUP(A94,[1]!TOX,67,FALSE))*1*0.000001*SQRT(6*$C94*'GW-1 Exp'!$U$27/PI()),(VLOOKUP(A94,[1]!TOX,67,FALSE))*1*0.000001*('GW-1 Exp'!$U$27/(1+$B94)+2*$C94*(1+3*$B94+3*$B94^2)/(1+$B94)^2))</f>
        <v>0</v>
      </c>
      <c r="AD94" s="837">
        <f>L94*IF('GW-1 Exp'!U$28&lt;=$E94,2*(VLOOKUP(A94,[1]!TOX,67,FALSE))*1*0.000001*SQRT(6*$C94*'GW-1 Exp'!$U$28/PI()),(VLOOKUP(A94,[1]!TOX,67,FALSE))*1*0.000001*('GW-1 Exp'!$U$28/(1+$B94)+2*$C94*(1+3*$B94+3*$B94^2)/(1+$B94)^2))</f>
        <v>0</v>
      </c>
      <c r="AE94" s="839">
        <f>L94*IF('GW-1 Exp'!U$29&lt;=$E94,2*(VLOOKUP(A94,[1]!TOX,67,FALSE))*1*0.000001*SQRT(6*$C94*'GW-1 Exp'!$U$29/PI()),(VLOOKUP(A94,[1]!TOX,67,FALSE))*1*0.000001*('GW-1 Exp'!$U$29/(1+$B94)+2*$C94*(1+3*$B94+3*$B94^2)/(1+$B94)^2))</f>
        <v>0</v>
      </c>
    </row>
    <row r="95" spans="1:31" ht="23" x14ac:dyDescent="0.25">
      <c r="A95" s="540" t="s">
        <v>890</v>
      </c>
      <c r="B95" s="587">
        <f>(VLOOKUP(A95,[1]!TOX,67,FALSE))*(SQRT((VLOOKUP(A95,[1]!TOX,57,FALSE)))/2.6)</f>
        <v>0</v>
      </c>
      <c r="C95" s="596">
        <f>('GW-1 Exp'!$O$29^2)/(6*D95)</f>
        <v>21.890150608878887</v>
      </c>
      <c r="D95" s="486">
        <f>10^(-2.8-(0.0056*(VLOOKUP(A95,[1]!TOX,57,FALSE))))*'GW-1 Exp'!$O$29</f>
        <v>7.613774324561514E-9</v>
      </c>
      <c r="E95" s="597">
        <f t="shared" si="5"/>
        <v>0</v>
      </c>
      <c r="F95" s="597">
        <f>IF(B95&lt;=0.6,0,(G95-SQRT(G95^2-H95^2))*('GW-1 Exp'!$O$29^2/D95))</f>
        <v>0</v>
      </c>
      <c r="G95" s="582">
        <f t="shared" si="10"/>
        <v>0.30328643903424807</v>
      </c>
      <c r="H95" s="598">
        <f t="shared" si="11"/>
        <v>0.33333333333333331</v>
      </c>
      <c r="I95" s="606">
        <f>IF('GW-1 Exp'!$U$13&lt;=$E95,2*(VLOOKUP(A95,[1]!TOX,67,FALSE))*1*0.000001*SQRT(6*$C95*'GW-1 Exp'!$U$13/PI()),(VLOOKUP(A95,[1]!TOX,67,FALSE))*1*0.000001*('GW-1 Exp'!$U$13/(1+$B95)+2*$C95*(1+3*$B95+3*$B95^2)/(1+$B95)^2))</f>
        <v>0</v>
      </c>
      <c r="J95" s="607">
        <f>IF('GW-1 Exp'!$U$21&lt;=$E95,2*(VLOOKUP(A95,[1]!TOX,67,FALSE))*1*0.000001*SQRT(6*$C95*'GW-1 Exp'!$U$21/PI()),(VLOOKUP(A95,[1]!TOX,67,FALSE))*1*0.000001*('GW-1 Exp'!$U$21/(1+$B95)+2*$C95*(1+3*$B95+3*$B95^2)/(1+$B95)^2))</f>
        <v>0</v>
      </c>
      <c r="K95" s="482"/>
      <c r="L95" s="554">
        <v>1</v>
      </c>
      <c r="M95" s="481">
        <f t="shared" si="8"/>
        <v>0</v>
      </c>
      <c r="N95" s="483">
        <f t="shared" si="9"/>
        <v>0</v>
      </c>
      <c r="O95" s="486" t="str">
        <f>IF(VLOOKUP(A95,[1]!TOX,81,FALSE)="Y","Inorganic",IF(K95="*","Streamlined",IF($E95=0,"Reduced Steady State",IF('GW-1 Exp'!$U$13&lt;=$E95,"Non-Steady State","Steady State"))))</f>
        <v>Reduced Steady State</v>
      </c>
      <c r="P95" s="485">
        <f>IF(VLOOKUP(A95,[1]!TOX,81,FALSE)="Y","Inorganic",IF(K95="*","Streamlined",IF($E95=0,0,IF('GW-1 Exp'!$U$21&lt;=$E95,"Non-Steady State","Steady State"))))</f>
        <v>0</v>
      </c>
      <c r="Q95" s="563">
        <f>IF(K95=0,0,IF((VLOOKUP(A95,[1]!TOX,67,FALSE))=0,0,IF((VLOOKUP(A95,[1]!TOX,67,FALSE))&lt;0.5,0.2,1)))</f>
        <v>0</v>
      </c>
      <c r="R95" s="614">
        <f>IF(K95=0,IF(M95=0,0,('[1]Target Risk'!$D$8*(VLOOKUP(A95,[1]!TOX,4,FALSE))*(VLOOKUP(A95,[1]!TOX,37,FALSE)))/('GW-1 Exp'!$V$13*'GW-1 Derm'!$M95)),('[1]Target Risk'!$D$8*(VLOOKUP(A95,[1]!TOX,4,FALSE))*(VLOOKUP(A95,[1]!TOX,37,FALSE)))/('GW-1 Exp'!$J$18*'GW-1 Derm'!$Q95))</f>
        <v>0</v>
      </c>
      <c r="S95" s="574">
        <f>IF(OR(VLOOKUP(A95,[1]!TOX,12,FALSE)=0,VLOOKUP(A95,[1]!TOX,38,FALSE)=0),0,IF(K95=0,('[1]Target Risk'!$D$12*(VLOOKUP(A95,[1]!TOX,38,FALSE)))/('GW-1 Exp'!$V$21*'GW-1 Derm'!N95*(VLOOKUP(A95,[1]!TOX,12,FALSE))),IF(Q95=0,0,('[1]Target Risk'!$D$12*(VLOOKUP(A95,[1]!TOX,38,FALSE)))/('GW-1 Exp'!$J$26*'GW-1 Derm'!Q95*(VLOOKUP(A95,[1]!TOX,12,FALSE))))))</f>
        <v>0</v>
      </c>
      <c r="T95" s="575">
        <f>IF(OR(VLOOKUP(A95,[1]!TOX,12,FALSE)=0,VLOOKUP(A95,[1]!TOX,38,FALSE)=0),0,IF(NOT(VLOOKUP(A95,[1]!TOX,36,FALSE)="M"), IF(K95=0,('[1]Target Risk'!$D$12*(VLOOKUP(A95,[1]!TOX,38,FALSE)))/('GW-1 Exp'!$V$21*'GW-1 Derm'!N95*(VLOOKUP(A95,[1]!TOX,12,FALSE))),IF(Q95=0,0,('[1]Target Risk'!$D$12*(VLOOKUP(A95,[1]!TOX,38,FALSE)))/('GW-1 Exp'!$J$26*'GW-1 Derm'!Q95*(VLOOKUP(A95,[1]!TOX,12,FALSE))))), IF(K95=0,('[1]Target Risk'!$D$12*(VLOOKUP(A95,[1]!TOX,38,FALSE)))/(('GW-1 Exp'!$V$26*'GW-1 Derm'!AB95*(VLOOKUP(A95,[1]!TOX,12,FALSE))*10)+('GW-1 Exp'!$V$27*'GW-1 Derm'!AC95*(VLOOKUP(A95,[1]!TOX,12,FALSE))*3)+('GW-1 Exp'!$V$28*'GW-1 Derm'!AD95*(VLOOKUP(A95,[1]!TOX,12,FALSE))*3)+('GW-1 Exp'!$V$29*'GW-1 Derm'!AE95*(VLOOKUP(A95,[1]!TOX,12,FALSE))*1)),IF(Q95=0,0,(('[1]Target Risk'!$D$12*(VLOOKUP(A95,[1]!TOX,38,FALSE)))/(('GW-1 Exp'!$J$33*'GW-1 Derm'!Q95*(VLOOKUP(A95,[1]!TOX,12,FALSE))*10)+('GW-1 Exp'!$J$34*'GW-1 Derm'!Q95*(VLOOKUP(A95,[1]!TOX,12,FALSE))*3)+('GW-1 Exp'!$J$35*'GW-1 Derm'!Q95*(VLOOKUP(A95,[1]!TOX,12,FALSE))*3)+('GW-1 Exp'!$J$36*'GW-1 Derm'!Q95*(VLOOKUP(A95,[1]!TOX,12,FALSE))*1)))))))</f>
        <v>0</v>
      </c>
      <c r="AB95" s="838">
        <f>L95*IF('GW-1 Exp'!U$26&lt;=$E95,2*(VLOOKUP(A95,[1]!TOX,67,FALSE))*1*0.000001*SQRT(6*$C95*'GW-1 Exp'!$U$26/PI()),(VLOOKUP(A95,[1]!TOX,67,FALSE))*1*0.000001*('GW-1 Exp'!$U$26/(1+$B95)+2*$C95*(1+3*$B95+3*$B95^2)/(1+$B95)^2))</f>
        <v>0</v>
      </c>
      <c r="AC95" s="837">
        <f>L95*IF('GW-1 Exp'!U$27&lt;=$E95,2*(VLOOKUP(A95,[1]!TOX,67,FALSE))*1*0.000001*SQRT(6*$C95*'GW-1 Exp'!$U$27/PI()),(VLOOKUP(A95,[1]!TOX,67,FALSE))*1*0.000001*('GW-1 Exp'!$U$27/(1+$B95)+2*$C95*(1+3*$B95+3*$B95^2)/(1+$B95)^2))</f>
        <v>0</v>
      </c>
      <c r="AD95" s="837">
        <f>L95*IF('GW-1 Exp'!U$28&lt;=$E95,2*(VLOOKUP(A95,[1]!TOX,67,FALSE))*1*0.000001*SQRT(6*$C95*'GW-1 Exp'!$U$28/PI()),(VLOOKUP(A95,[1]!TOX,67,FALSE))*1*0.000001*('GW-1 Exp'!$U$28/(1+$B95)+2*$C95*(1+3*$B95+3*$B95^2)/(1+$B95)^2))</f>
        <v>0</v>
      </c>
      <c r="AE95" s="839">
        <f>L95*IF('GW-1 Exp'!U$29&lt;=$E95,2*(VLOOKUP(A95,[1]!TOX,67,FALSE))*1*0.000001*SQRT(6*$C95*'GW-1 Exp'!$U$29/PI()),(VLOOKUP(A95,[1]!TOX,67,FALSE))*1*0.000001*('GW-1 Exp'!$U$29/(1+$B95)+2*$C95*(1+3*$B95+3*$B95^2)/(1+$B95)^2))</f>
        <v>0</v>
      </c>
    </row>
    <row r="96" spans="1:31" ht="23" x14ac:dyDescent="0.25">
      <c r="A96" s="540" t="s">
        <v>927</v>
      </c>
      <c r="B96" s="587">
        <f>(VLOOKUP(A96,[1]!TOX,67,FALSE))*(SQRT((VLOOKUP(A96,[1]!TOX,57,FALSE)))/2.6)</f>
        <v>0</v>
      </c>
      <c r="C96" s="596">
        <f>('GW-1 Exp'!$O$29^2)/(6*D96)</f>
        <v>66.351195092249526</v>
      </c>
      <c r="D96" s="486">
        <f>10^(-2.8-(0.0056*(VLOOKUP(A96,[1]!TOX,57,FALSE))))*'GW-1 Exp'!$O$29</f>
        <v>2.5118864315095808E-9</v>
      </c>
      <c r="E96" s="597">
        <f t="shared" si="5"/>
        <v>0</v>
      </c>
      <c r="F96" s="597">
        <f>IF(B96&lt;=0.6,0,(G96-SQRT(G96^2-H96^2))*('GW-1 Exp'!$O$29^2/D96))</f>
        <v>0</v>
      </c>
      <c r="G96" s="582">
        <f t="shared" si="10"/>
        <v>0.30328643903424807</v>
      </c>
      <c r="H96" s="598">
        <f t="shared" si="11"/>
        <v>0.33333333333333331</v>
      </c>
      <c r="I96" s="606">
        <f>IF('GW-1 Exp'!$U$13&lt;=$E96,2*(VLOOKUP(A96,[1]!TOX,67,FALSE))*1*0.000001*SQRT(6*$C96*'GW-1 Exp'!$U$13/PI()),(VLOOKUP(A96,[1]!TOX,67,FALSE))*1*0.000001*('GW-1 Exp'!$U$13/(1+$B96)+2*$C96*(1+3*$B96+3*$B96^2)/(1+$B96)^2))</f>
        <v>0</v>
      </c>
      <c r="J96" s="607">
        <f>IF('GW-1 Exp'!$U$21&lt;=$E96,2*(VLOOKUP(A96,[1]!TOX,67,FALSE))*1*0.000001*SQRT(6*$C96*'GW-1 Exp'!$U$21/PI()),(VLOOKUP(A96,[1]!TOX,67,FALSE))*1*0.000001*('GW-1 Exp'!$U$21/(1+$B96)+2*$C96*(1+3*$B96+3*$B96^2)/(1+$B96)^2))</f>
        <v>0</v>
      </c>
      <c r="K96" s="482"/>
      <c r="L96" s="554">
        <v>1</v>
      </c>
      <c r="M96" s="481">
        <f t="shared" si="8"/>
        <v>0</v>
      </c>
      <c r="N96" s="483">
        <f t="shared" si="9"/>
        <v>0</v>
      </c>
      <c r="O96" s="486" t="str">
        <f>IF(VLOOKUP(A96,[1]!TOX,81,FALSE)="Y","Inorganic",IF(K96="*","Streamlined",IF($E96=0,"Reduced Steady State",IF('GW-1 Exp'!$U$13&lt;=$E96,"Non-Steady State","Steady State"))))</f>
        <v>Reduced Steady State</v>
      </c>
      <c r="P96" s="485">
        <f>IF(VLOOKUP(A96,[1]!TOX,81,FALSE)="Y","Inorganic",IF(K96="*","Streamlined",IF($E96=0,0,IF('GW-1 Exp'!$U$21&lt;=$E96,"Non-Steady State","Steady State"))))</f>
        <v>0</v>
      </c>
      <c r="Q96" s="563">
        <f>IF(K96=0,0,IF((VLOOKUP(A96,[1]!TOX,67,FALSE))=0,0,IF((VLOOKUP(A96,[1]!TOX,67,FALSE))&lt;0.5,0.2,1)))</f>
        <v>0</v>
      </c>
      <c r="R96" s="614">
        <f>IF(K96=0,IF(M96=0,0,('[1]Target Risk'!$D$8*(VLOOKUP(A96,[1]!TOX,4,FALSE))*(VLOOKUP(A96,[1]!TOX,37,FALSE)))/('GW-1 Exp'!$V$13*'GW-1 Derm'!$M96)),('[1]Target Risk'!$D$8*(VLOOKUP(A96,[1]!TOX,4,FALSE))*(VLOOKUP(A96,[1]!TOX,37,FALSE)))/('GW-1 Exp'!$J$18*'GW-1 Derm'!$Q96))</f>
        <v>0</v>
      </c>
      <c r="S96" s="574">
        <f>IF(OR(VLOOKUP(A96,[1]!TOX,12,FALSE)=0,VLOOKUP(A96,[1]!TOX,38,FALSE)=0),0,IF(K96=0,('[1]Target Risk'!$D$12*(VLOOKUP(A96,[1]!TOX,38,FALSE)))/('GW-1 Exp'!$V$21*'GW-1 Derm'!N96*(VLOOKUP(A96,[1]!TOX,12,FALSE))),IF(Q96=0,0,('[1]Target Risk'!$D$12*(VLOOKUP(A96,[1]!TOX,38,FALSE)))/('GW-1 Exp'!$J$26*'GW-1 Derm'!Q96*(VLOOKUP(A96,[1]!TOX,12,FALSE))))))</f>
        <v>0</v>
      </c>
      <c r="T96" s="575">
        <f>IF(OR(VLOOKUP(A96,[1]!TOX,12,FALSE)=0,VLOOKUP(A96,[1]!TOX,38,FALSE)=0),0,IF(NOT(VLOOKUP(A96,[1]!TOX,36,FALSE)="M"), IF(K96=0,('[1]Target Risk'!$D$12*(VLOOKUP(A96,[1]!TOX,38,FALSE)))/('GW-1 Exp'!$V$21*'GW-1 Derm'!N96*(VLOOKUP(A96,[1]!TOX,12,FALSE))),IF(Q96=0,0,('[1]Target Risk'!$D$12*(VLOOKUP(A96,[1]!TOX,38,FALSE)))/('GW-1 Exp'!$J$26*'GW-1 Derm'!Q96*(VLOOKUP(A96,[1]!TOX,12,FALSE))))), IF(K96=0,('[1]Target Risk'!$D$12*(VLOOKUP(A96,[1]!TOX,38,FALSE)))/(('GW-1 Exp'!$V$26*'GW-1 Derm'!AB96*(VLOOKUP(A96,[1]!TOX,12,FALSE))*10)+('GW-1 Exp'!$V$27*'GW-1 Derm'!AC96*(VLOOKUP(A96,[1]!TOX,12,FALSE))*3)+('GW-1 Exp'!$V$28*'GW-1 Derm'!AD96*(VLOOKUP(A96,[1]!TOX,12,FALSE))*3)+('GW-1 Exp'!$V$29*'GW-1 Derm'!AE96*(VLOOKUP(A96,[1]!TOX,12,FALSE))*1)),IF(Q96=0,0,(('[1]Target Risk'!$D$12*(VLOOKUP(A96,[1]!TOX,38,FALSE)))/(('GW-1 Exp'!$J$33*'GW-1 Derm'!Q96*(VLOOKUP(A96,[1]!TOX,12,FALSE))*10)+('GW-1 Exp'!$J$34*'GW-1 Derm'!Q96*(VLOOKUP(A96,[1]!TOX,12,FALSE))*3)+('GW-1 Exp'!$J$35*'GW-1 Derm'!Q96*(VLOOKUP(A96,[1]!TOX,12,FALSE))*3)+('GW-1 Exp'!$J$36*'GW-1 Derm'!Q96*(VLOOKUP(A96,[1]!TOX,12,FALSE))*1)))))))</f>
        <v>0</v>
      </c>
      <c r="AB96" s="838">
        <f>L96*IF('GW-1 Exp'!U$26&lt;=$E96,2*(VLOOKUP(A96,[1]!TOX,67,FALSE))*1*0.000001*SQRT(6*$C96*'GW-1 Exp'!$U$26/PI()),(VLOOKUP(A96,[1]!TOX,67,FALSE))*1*0.000001*('GW-1 Exp'!$U$26/(1+$B96)+2*$C96*(1+3*$B96+3*$B96^2)/(1+$B96)^2))</f>
        <v>0</v>
      </c>
      <c r="AC96" s="837">
        <f>L96*IF('GW-1 Exp'!U$27&lt;=$E96,2*(VLOOKUP(A96,[1]!TOX,67,FALSE))*1*0.000001*SQRT(6*$C96*'GW-1 Exp'!$U$27/PI()),(VLOOKUP(A96,[1]!TOX,67,FALSE))*1*0.000001*('GW-1 Exp'!$U$27/(1+$B96)+2*$C96*(1+3*$B96+3*$B96^2)/(1+$B96)^2))</f>
        <v>0</v>
      </c>
      <c r="AD96" s="837">
        <f>L96*IF('GW-1 Exp'!U$28&lt;=$E96,2*(VLOOKUP(A96,[1]!TOX,67,FALSE))*1*0.000001*SQRT(6*$C96*'GW-1 Exp'!$U$28/PI()),(VLOOKUP(A96,[1]!TOX,67,FALSE))*1*0.000001*('GW-1 Exp'!$U$28/(1+$B96)+2*$C96*(1+3*$B96+3*$B96^2)/(1+$B96)^2))</f>
        <v>0</v>
      </c>
      <c r="AE96" s="839">
        <f>L96*IF('GW-1 Exp'!U$29&lt;=$E96,2*(VLOOKUP(A96,[1]!TOX,67,FALSE))*1*0.000001*SQRT(6*$C96*'GW-1 Exp'!$U$29/PI()),(VLOOKUP(A96,[1]!TOX,67,FALSE))*1*0.000001*('GW-1 Exp'!$U$29/(1+$B96)+2*$C96*(1+3*$B96+3*$B96^2)/(1+$B96)^2))</f>
        <v>0</v>
      </c>
    </row>
    <row r="97" spans="1:31" ht="23" x14ac:dyDescent="0.25">
      <c r="A97" s="540" t="s">
        <v>893</v>
      </c>
      <c r="B97" s="587">
        <f>(VLOOKUP(A97,[1]!TOX,67,FALSE))*(SQRT((VLOOKUP(A97,[1]!TOX,57,FALSE)))/2.6)</f>
        <v>0</v>
      </c>
      <c r="C97" s="596">
        <f>('GW-1 Exp'!$O$29^2)/(6*D97)</f>
        <v>41.710822095518012</v>
      </c>
      <c r="D97" s="486">
        <f>10^(-2.8-(0.0056*(VLOOKUP(A97,[1]!TOX,57,FALSE))))*'GW-1 Exp'!$O$29</f>
        <v>3.9957655661880524E-9</v>
      </c>
      <c r="E97" s="597">
        <f t="shared" si="5"/>
        <v>0</v>
      </c>
      <c r="F97" s="597">
        <f>IF(B97&lt;=0.6,0,(G97-SQRT(G97^2-H97^2))*('GW-1 Exp'!$O$29^2/D97))</f>
        <v>0</v>
      </c>
      <c r="G97" s="582">
        <f t="shared" si="10"/>
        <v>0.30328643903424807</v>
      </c>
      <c r="H97" s="598">
        <f t="shared" si="11"/>
        <v>0.33333333333333331</v>
      </c>
      <c r="I97" s="606">
        <f>IF('GW-1 Exp'!$U$13&lt;=$E97,2*(VLOOKUP(A97,[1]!TOX,67,FALSE))*1*0.000001*SQRT(6*$C97*'GW-1 Exp'!$U$13/PI()),(VLOOKUP(A97,[1]!TOX,67,FALSE))*1*0.000001*('GW-1 Exp'!$U$13/(1+$B97)+2*$C97*(1+3*$B97+3*$B97^2)/(1+$B97)^2))</f>
        <v>0</v>
      </c>
      <c r="J97" s="607">
        <f>IF('GW-1 Exp'!$U$21&lt;=$E97,2*(VLOOKUP(A97,[1]!TOX,67,FALSE))*1*0.000001*SQRT(6*$C97*'GW-1 Exp'!$U$21/PI()),(VLOOKUP(A97,[1]!TOX,67,FALSE))*1*0.000001*('GW-1 Exp'!$U$21/(1+$B97)+2*$C97*(1+3*$B97+3*$B97^2)/(1+$B97)^2))</f>
        <v>0</v>
      </c>
      <c r="K97" s="482"/>
      <c r="L97" s="554">
        <v>1</v>
      </c>
      <c r="M97" s="481">
        <f t="shared" si="8"/>
        <v>0</v>
      </c>
      <c r="N97" s="483">
        <f t="shared" si="9"/>
        <v>0</v>
      </c>
      <c r="O97" s="486" t="str">
        <f>IF(VLOOKUP(A97,[1]!TOX,81,FALSE)="Y","Inorganic",IF(K97="*","Streamlined",IF($E97=0,"Reduced Steady State",IF('GW-1 Exp'!$U$13&lt;=$E97,"Non-Steady State","Steady State"))))</f>
        <v>Reduced Steady State</v>
      </c>
      <c r="P97" s="485">
        <f>IF(VLOOKUP(A97,[1]!TOX,81,FALSE)="Y","Inorganic",IF(K97="*","Streamlined",IF($E97=0,0,IF('GW-1 Exp'!$U$21&lt;=$E97,"Non-Steady State","Steady State"))))</f>
        <v>0</v>
      </c>
      <c r="Q97" s="563">
        <f>IF(K97=0,0,IF((VLOOKUP(A97,[1]!TOX,67,FALSE))=0,0,IF((VLOOKUP(A97,[1]!TOX,67,FALSE))&lt;0.5,0.2,1)))</f>
        <v>0</v>
      </c>
      <c r="R97" s="614">
        <f>IF(K97=0,IF(M97=0,0,('[1]Target Risk'!$D$8*(VLOOKUP(A97,[1]!TOX,4,FALSE))*(VLOOKUP(A97,[1]!TOX,37,FALSE)))/('GW-1 Exp'!$V$13*'GW-1 Derm'!$M97)),('[1]Target Risk'!$D$8*(VLOOKUP(A97,[1]!TOX,4,FALSE))*(VLOOKUP(A97,[1]!TOX,37,FALSE)))/('GW-1 Exp'!$J$18*'GW-1 Derm'!$Q97))</f>
        <v>0</v>
      </c>
      <c r="S97" s="574">
        <f>IF(OR(VLOOKUP(A97,[1]!TOX,12,FALSE)=0,VLOOKUP(A97,[1]!TOX,38,FALSE)=0),0,IF(K97=0,('[1]Target Risk'!$D$12*(VLOOKUP(A97,[1]!TOX,38,FALSE)))/('GW-1 Exp'!$V$21*'GW-1 Derm'!N97*(VLOOKUP(A97,[1]!TOX,12,FALSE))),IF(Q97=0,0,('[1]Target Risk'!$D$12*(VLOOKUP(A97,[1]!TOX,38,FALSE)))/('GW-1 Exp'!$J$26*'GW-1 Derm'!Q97*(VLOOKUP(A97,[1]!TOX,12,FALSE))))))</f>
        <v>0</v>
      </c>
      <c r="T97" s="575">
        <f>IF(OR(VLOOKUP(A97,[1]!TOX,12,FALSE)=0,VLOOKUP(A97,[1]!TOX,38,FALSE)=0),0,IF(NOT(VLOOKUP(A97,[1]!TOX,36,FALSE)="M"), IF(K97=0,('[1]Target Risk'!$D$12*(VLOOKUP(A97,[1]!TOX,38,FALSE)))/('GW-1 Exp'!$V$21*'GW-1 Derm'!N97*(VLOOKUP(A97,[1]!TOX,12,FALSE))),IF(Q97=0,0,('[1]Target Risk'!$D$12*(VLOOKUP(A97,[1]!TOX,38,FALSE)))/('GW-1 Exp'!$J$26*'GW-1 Derm'!Q97*(VLOOKUP(A97,[1]!TOX,12,FALSE))))), IF(K97=0,('[1]Target Risk'!$D$12*(VLOOKUP(A97,[1]!TOX,38,FALSE)))/(('GW-1 Exp'!$V$26*'GW-1 Derm'!AB97*(VLOOKUP(A97,[1]!TOX,12,FALSE))*10)+('GW-1 Exp'!$V$27*'GW-1 Derm'!AC97*(VLOOKUP(A97,[1]!TOX,12,FALSE))*3)+('GW-1 Exp'!$V$28*'GW-1 Derm'!AD97*(VLOOKUP(A97,[1]!TOX,12,FALSE))*3)+('GW-1 Exp'!$V$29*'GW-1 Derm'!AE97*(VLOOKUP(A97,[1]!TOX,12,FALSE))*1)),IF(Q97=0,0,(('[1]Target Risk'!$D$12*(VLOOKUP(A97,[1]!TOX,38,FALSE)))/(('GW-1 Exp'!$J$33*'GW-1 Derm'!Q97*(VLOOKUP(A97,[1]!TOX,12,FALSE))*10)+('GW-1 Exp'!$J$34*'GW-1 Derm'!Q97*(VLOOKUP(A97,[1]!TOX,12,FALSE))*3)+('GW-1 Exp'!$J$35*'GW-1 Derm'!Q97*(VLOOKUP(A97,[1]!TOX,12,FALSE))*3)+('GW-1 Exp'!$J$36*'GW-1 Derm'!Q97*(VLOOKUP(A97,[1]!TOX,12,FALSE))*1)))))))</f>
        <v>0</v>
      </c>
      <c r="AB97" s="838">
        <f>L97*IF('GW-1 Exp'!U$26&lt;=$E97,2*(VLOOKUP(A97,[1]!TOX,67,FALSE))*1*0.000001*SQRT(6*$C97*'GW-1 Exp'!$U$26/PI()),(VLOOKUP(A97,[1]!TOX,67,FALSE))*1*0.000001*('GW-1 Exp'!$U$26/(1+$B97)+2*$C97*(1+3*$B97+3*$B97^2)/(1+$B97)^2))</f>
        <v>0</v>
      </c>
      <c r="AC97" s="837">
        <f>L97*IF('GW-1 Exp'!U$27&lt;=$E97,2*(VLOOKUP(A97,[1]!TOX,67,FALSE))*1*0.000001*SQRT(6*$C97*'GW-1 Exp'!$U$27/PI()),(VLOOKUP(A97,[1]!TOX,67,FALSE))*1*0.000001*('GW-1 Exp'!$U$27/(1+$B97)+2*$C97*(1+3*$B97+3*$B97^2)/(1+$B97)^2))</f>
        <v>0</v>
      </c>
      <c r="AD97" s="837">
        <f>L97*IF('GW-1 Exp'!U$28&lt;=$E97,2*(VLOOKUP(A97,[1]!TOX,67,FALSE))*1*0.000001*SQRT(6*$C97*'GW-1 Exp'!$U$28/PI()),(VLOOKUP(A97,[1]!TOX,67,FALSE))*1*0.000001*('GW-1 Exp'!$U$28/(1+$B97)+2*$C97*(1+3*$B97+3*$B97^2)/(1+$B97)^2))</f>
        <v>0</v>
      </c>
      <c r="AE97" s="839">
        <f>L97*IF('GW-1 Exp'!U$29&lt;=$E97,2*(VLOOKUP(A97,[1]!TOX,67,FALSE))*1*0.000001*SQRT(6*$C97*'GW-1 Exp'!$U$29/PI()),(VLOOKUP(A97,[1]!TOX,67,FALSE))*1*0.000001*('GW-1 Exp'!$U$29/(1+$B97)+2*$C97*(1+3*$B97+3*$B97^2)/(1+$B97)^2))</f>
        <v>0</v>
      </c>
    </row>
    <row r="98" spans="1:31" x14ac:dyDescent="0.25">
      <c r="A98" s="540" t="s">
        <v>615</v>
      </c>
      <c r="B98" s="587">
        <f>(VLOOKUP(A98,[1]!TOX,67,FALSE))*(SQRT((VLOOKUP(A98,[1]!TOX,57,FALSE)))/2.6)</f>
        <v>0</v>
      </c>
      <c r="C98" s="596">
        <f>('GW-1 Exp'!$O$29^2)/(6*D98)</f>
        <v>0.10515955741336554</v>
      </c>
      <c r="D98" s="486">
        <f>10^(-2.8-(0.0056*(VLOOKUP(A98,[1]!TOX,57,FALSE))))*'GW-1 Exp'!$O$29</f>
        <v>1.5848931924611134E-6</v>
      </c>
      <c r="E98" s="597">
        <f t="shared" si="5"/>
        <v>0</v>
      </c>
      <c r="F98" s="597">
        <f>IF(B98&lt;=0.6,0,(G98-SQRT(G98^2-H98^2))*('GW-1 Exp'!$O$29^2/D98))</f>
        <v>0</v>
      </c>
      <c r="G98" s="582">
        <f>(2*(1+B98)^2/PI())-H98</f>
        <v>0.30328643903424807</v>
      </c>
      <c r="H98" s="598">
        <f>(1+ (3*B98) + 3*B98^2)/(3*(1+B98))</f>
        <v>0.33333333333333331</v>
      </c>
      <c r="I98" s="606">
        <f>IF('GW-1 Exp'!$U$13&lt;=$E98,2*(VLOOKUP(A98,[1]!TOX,67,FALSE))*1*0.000001*SQRT(6*$C98*'GW-1 Exp'!$U$13/PI()),(VLOOKUP(A98,[1]!TOX,67,FALSE))*1*0.000001*('GW-1 Exp'!$U$13/(1+$B98)+2*$C98*(1+3*$B98+3*$B98^2)/(1+$B98)^2))</f>
        <v>0</v>
      </c>
      <c r="J98" s="607">
        <f>IF('GW-1 Exp'!$U$21&lt;=$E98,2*(VLOOKUP(A98,[1]!TOX,67,FALSE))*1*0.000001*SQRT(6*$C98*'GW-1 Exp'!$U$21/PI()),(VLOOKUP(A98,[1]!TOX,67,FALSE))*1*0.000001*('GW-1 Exp'!$U$21/(1+$B98)+2*$C98*(1+3*$B98+3*$B98^2)/(1+$B98)^2))</f>
        <v>0</v>
      </c>
      <c r="K98" s="482"/>
      <c r="L98" s="554">
        <v>1</v>
      </c>
      <c r="M98" s="481">
        <f t="shared" si="8"/>
        <v>0</v>
      </c>
      <c r="N98" s="483">
        <f t="shared" si="9"/>
        <v>0</v>
      </c>
      <c r="O98" s="486" t="str">
        <f>IF(VLOOKUP(A98,[1]!TOX,81,FALSE)="Y","Inorganic",IF(K98="*","Streamlined",IF($E98=0,"Reduced Steady State",IF('GW-1 Exp'!$U$13&lt;=$E98,"Non-Steady State","Steady State"))))</f>
        <v>Reduced Steady State</v>
      </c>
      <c r="P98" s="485">
        <f>IF(VLOOKUP(A98,[1]!TOX,81,FALSE)="Y","Inorganic",IF(K98="*","Streamlined",IF($E98=0,0,IF('GW-1 Exp'!$U$21&lt;=$E98,"Non-Steady State","Steady State"))))</f>
        <v>0</v>
      </c>
      <c r="Q98" s="563">
        <f>IF(K98=0,0,IF((VLOOKUP(A98,[1]!TOX,67,FALSE))=0,0,IF((VLOOKUP(A98,[1]!TOX,67,FALSE))&lt;0.5,0.2,1)))</f>
        <v>0</v>
      </c>
      <c r="R98" s="614">
        <f>IF(K98=0,IF(M98=0,0,('[1]Target Risk'!$D$8*(VLOOKUP(A98,[1]!TOX,4,FALSE))*(VLOOKUP(A98,[1]!TOX,37,FALSE)))/('GW-1 Exp'!$V$13*'GW-1 Derm'!$M98)),('[1]Target Risk'!$D$8*(VLOOKUP(A98,[1]!TOX,4,FALSE))*(VLOOKUP(A98,[1]!TOX,37,FALSE)))/('GW-1 Exp'!$J$18*'GW-1 Derm'!$Q98))</f>
        <v>0</v>
      </c>
      <c r="S98" s="574">
        <f>IF(OR(VLOOKUP(A98,[1]!TOX,12,FALSE)=0,VLOOKUP(A98,[1]!TOX,38,FALSE)=0),0,IF(K98=0,('[1]Target Risk'!$D$12*(VLOOKUP(A98,[1]!TOX,38,FALSE)))/('GW-1 Exp'!$V$21*'GW-1 Derm'!N98*(VLOOKUP(A98,[1]!TOX,12,FALSE))),IF(Q98=0,0,('[1]Target Risk'!$D$12*(VLOOKUP(A98,[1]!TOX,38,FALSE)))/('GW-1 Exp'!$J$26*'GW-1 Derm'!Q98*(VLOOKUP(A98,[1]!TOX,12,FALSE))))))</f>
        <v>0</v>
      </c>
      <c r="T98" s="575">
        <f>IF(OR(VLOOKUP(A98,[1]!TOX,12,FALSE)=0,VLOOKUP(A98,[1]!TOX,38,FALSE)=0),0,IF(NOT(VLOOKUP(A98,[1]!TOX,36,FALSE)="M"), IF(K98=0,('[1]Target Risk'!$D$12*(VLOOKUP(A98,[1]!TOX,38,FALSE)))/('GW-1 Exp'!$V$21*'GW-1 Derm'!N98*(VLOOKUP(A98,[1]!TOX,12,FALSE))),IF(Q98=0,0,('[1]Target Risk'!$D$12*(VLOOKUP(A98,[1]!TOX,38,FALSE)))/('GW-1 Exp'!$J$26*'GW-1 Derm'!Q98*(VLOOKUP(A98,[1]!TOX,12,FALSE))))), IF(K98=0,('[1]Target Risk'!$D$12*(VLOOKUP(A98,[1]!TOX,38,FALSE)))/(('GW-1 Exp'!$V$26*'GW-1 Derm'!AB98*(VLOOKUP(A98,[1]!TOX,12,FALSE))*10)+('GW-1 Exp'!$V$27*'GW-1 Derm'!AC98*(VLOOKUP(A98,[1]!TOX,12,FALSE))*3)+('GW-1 Exp'!$V$28*'GW-1 Derm'!AD98*(VLOOKUP(A98,[1]!TOX,12,FALSE))*3)+('GW-1 Exp'!$V$29*'GW-1 Derm'!AE98*(VLOOKUP(A98,[1]!TOX,12,FALSE))*1)),IF(Q98=0,0,(('[1]Target Risk'!$D$12*(VLOOKUP(A98,[1]!TOX,38,FALSE)))/(('GW-1 Exp'!$J$33*'GW-1 Derm'!Q98*(VLOOKUP(A98,[1]!TOX,12,FALSE))*10)+('GW-1 Exp'!$J$34*'GW-1 Derm'!Q98*(VLOOKUP(A98,[1]!TOX,12,FALSE))*3)+('GW-1 Exp'!$J$35*'GW-1 Derm'!Q98*(VLOOKUP(A98,[1]!TOX,12,FALSE))*3)+('GW-1 Exp'!$J$36*'GW-1 Derm'!Q98*(VLOOKUP(A98,[1]!TOX,12,FALSE))*1)))))))</f>
        <v>0</v>
      </c>
      <c r="AB98" s="838">
        <f>L98*IF('GW-1 Exp'!U$26&lt;=$E98,2*(VLOOKUP(A98,[1]!TOX,67,FALSE))*1*0.000001*SQRT(6*$C98*'GW-1 Exp'!$U$26/PI()),(VLOOKUP(A98,[1]!TOX,67,FALSE))*1*0.000001*('GW-1 Exp'!$U$26/(1+$B98)+2*$C98*(1+3*$B98+3*$B98^2)/(1+$B98)^2))</f>
        <v>0</v>
      </c>
      <c r="AC98" s="837">
        <f>L98*IF('GW-1 Exp'!U$27&lt;=$E98,2*(VLOOKUP(A98,[1]!TOX,67,FALSE))*1*0.000001*SQRT(6*$C98*'GW-1 Exp'!$U$27/PI()),(VLOOKUP(A98,[1]!TOX,67,FALSE))*1*0.000001*('GW-1 Exp'!$U$27/(1+$B98)+2*$C98*(1+3*$B98+3*$B98^2)/(1+$B98)^2))</f>
        <v>0</v>
      </c>
      <c r="AD98" s="837">
        <f>L98*IF('GW-1 Exp'!U$28&lt;=$E98,2*(VLOOKUP(A98,[1]!TOX,67,FALSE))*1*0.000001*SQRT(6*$C98*'GW-1 Exp'!$U$28/PI()),(VLOOKUP(A98,[1]!TOX,67,FALSE))*1*0.000001*('GW-1 Exp'!$U$28/(1+$B98)+2*$C98*(1+3*$B98+3*$B98^2)/(1+$B98)^2))</f>
        <v>0</v>
      </c>
      <c r="AE98" s="839">
        <f>L98*IF('GW-1 Exp'!U$29&lt;=$E98,2*(VLOOKUP(A98,[1]!TOX,67,FALSE))*1*0.000001*SQRT(6*$C98*'GW-1 Exp'!$U$29/PI()),(VLOOKUP(A98,[1]!TOX,67,FALSE))*1*0.000001*('GW-1 Exp'!$U$29/(1+$B98)+2*$C98*(1+3*$B98+3*$B98^2)/(1+$B98)^2))</f>
        <v>0</v>
      </c>
    </row>
    <row r="99" spans="1:31" ht="23" x14ac:dyDescent="0.25">
      <c r="A99" s="540" t="s">
        <v>103</v>
      </c>
      <c r="B99" s="587">
        <f>(VLOOKUP(A99,[1]!TOX,67,FALSE))*(SQRT((VLOOKUP(A99,[1]!TOX,57,FALSE)))/2.6)</f>
        <v>0</v>
      </c>
      <c r="C99" s="596">
        <f>('GW-1 Exp'!$O$29^2)/(6*D99)</f>
        <v>0.10515955741336554</v>
      </c>
      <c r="D99" s="486">
        <f>10^(-2.8-(0.0056*(VLOOKUP(A99,[1]!TOX,57,FALSE))))*'GW-1 Exp'!$O$29</f>
        <v>1.5848931924611134E-6</v>
      </c>
      <c r="E99" s="597">
        <f t="shared" si="5"/>
        <v>0</v>
      </c>
      <c r="F99" s="597">
        <f>IF(B99&lt;=0.6,0,(G99-SQRT(G99^2-H99^2))*('GW-1 Exp'!$O$29^2/D99))</f>
        <v>0</v>
      </c>
      <c r="G99" s="582">
        <f t="shared" ref="G99:G105" si="12">(2*(1+B99)^2/PI())-H99</f>
        <v>0.30328643903424807</v>
      </c>
      <c r="H99" s="598">
        <f t="shared" ref="H99:H105" si="13">(1+ (3*B99) + 3*B99^2)/(3*(1+B99))</f>
        <v>0.33333333333333331</v>
      </c>
      <c r="I99" s="606">
        <f>IF('GW-1 Exp'!$U$13&lt;=$E99,2*(VLOOKUP(A99,[1]!TOX,67,FALSE))*1*0.000001*SQRT(6*$C99*'GW-1 Exp'!$U$13/PI()),(VLOOKUP(A99,[1]!TOX,67,FALSE))*1*0.000001*('GW-1 Exp'!$U$13/(1+$B99)+2*$C99*(1+3*$B99+3*$B99^2)/(1+$B99)^2))</f>
        <v>0</v>
      </c>
      <c r="J99" s="607">
        <f>IF('GW-1 Exp'!$U$21&lt;=$E99,2*(VLOOKUP(A99,[1]!TOX,67,FALSE))*1*0.000001*SQRT(6*$C99*'GW-1 Exp'!$U$21/PI()),(VLOOKUP(A99,[1]!TOX,67,FALSE))*1*0.000001*('GW-1 Exp'!$U$21/(1+$B99)+2*$C99*(1+3*$B99+3*$B99^2)/(1+$B99)^2))</f>
        <v>0</v>
      </c>
      <c r="K99" s="485"/>
      <c r="L99" s="554"/>
      <c r="M99" s="481">
        <f t="shared" si="8"/>
        <v>0</v>
      </c>
      <c r="N99" s="483">
        <f t="shared" si="9"/>
        <v>0</v>
      </c>
      <c r="O99" s="486" t="str">
        <f>IF(VLOOKUP(A99,[1]!TOX,81,FALSE)="Y","Inorganic",IF(K99="*","Streamlined",IF($E99=0,"Reduced Steady State",IF('GW-1 Exp'!$U$13&lt;=$E99,"Non-Steady State","Steady State"))))</f>
        <v>Reduced Steady State</v>
      </c>
      <c r="P99" s="485">
        <f>IF(VLOOKUP(A99,[1]!TOX,81,FALSE)="Y","Inorganic",IF(K99="*","Streamlined",IF($E99=0,0,IF('GW-1 Exp'!$U$21&lt;=$E99,"Non-Steady State","Steady State"))))</f>
        <v>0</v>
      </c>
      <c r="Q99" s="563">
        <f>IF(K99=0,0,IF((VLOOKUP(A99,[1]!TOX,67,FALSE))=0,0,IF((VLOOKUP(A99,[1]!TOX,67,FALSE))&lt;0.5,0.2,1)))</f>
        <v>0</v>
      </c>
      <c r="R99" s="614">
        <f>IF(K99=0,IF(M99=0,0,('[1]Target Risk'!$D$8*(VLOOKUP(A99,[1]!TOX,4,FALSE))*(VLOOKUP(A99,[1]!TOX,37,FALSE)))/('GW-1 Exp'!$V$13*'GW-1 Derm'!$M99)),('[1]Target Risk'!$D$8*(VLOOKUP(A99,[1]!TOX,4,FALSE))*(VLOOKUP(A99,[1]!TOX,37,FALSE)))/('GW-1 Exp'!$J$18*'GW-1 Derm'!$Q99))</f>
        <v>0</v>
      </c>
      <c r="S99" s="574">
        <f>IF(OR(VLOOKUP(A99,[1]!TOX,12,FALSE)=0,VLOOKUP(A99,[1]!TOX,38,FALSE)=0),0,IF(K99=0,('[1]Target Risk'!$D$12*(VLOOKUP(A99,[1]!TOX,38,FALSE)))/('GW-1 Exp'!$V$21*'GW-1 Derm'!N99*(VLOOKUP(A99,[1]!TOX,12,FALSE))),IF(Q99=0,0,('[1]Target Risk'!$D$12*(VLOOKUP(A99,[1]!TOX,38,FALSE)))/('GW-1 Exp'!$J$26*'GW-1 Derm'!Q99*(VLOOKUP(A99,[1]!TOX,12,FALSE))))))</f>
        <v>0</v>
      </c>
      <c r="T99" s="575">
        <f>IF(OR(VLOOKUP(A99,[1]!TOX,12,FALSE)=0,VLOOKUP(A99,[1]!TOX,38,FALSE)=0),0,IF(NOT(VLOOKUP(A99,[1]!TOX,36,FALSE)="M"), IF(K99=0,('[1]Target Risk'!$D$12*(VLOOKUP(A99,[1]!TOX,38,FALSE)))/('GW-1 Exp'!$V$21*'GW-1 Derm'!N99*(VLOOKUP(A99,[1]!TOX,12,FALSE))),IF(Q99=0,0,('[1]Target Risk'!$D$12*(VLOOKUP(A99,[1]!TOX,38,FALSE)))/('GW-1 Exp'!$J$26*'GW-1 Derm'!Q99*(VLOOKUP(A99,[1]!TOX,12,FALSE))))), IF(K99=0,('[1]Target Risk'!$D$12*(VLOOKUP(A99,[1]!TOX,38,FALSE)))/(('GW-1 Exp'!$V$26*'GW-1 Derm'!AB99*(VLOOKUP(A99,[1]!TOX,12,FALSE))*10)+('GW-1 Exp'!$V$27*'GW-1 Derm'!AC99*(VLOOKUP(A99,[1]!TOX,12,FALSE))*3)+('GW-1 Exp'!$V$28*'GW-1 Derm'!AD99*(VLOOKUP(A99,[1]!TOX,12,FALSE))*3)+('GW-1 Exp'!$V$29*'GW-1 Derm'!AE99*(VLOOKUP(A99,[1]!TOX,12,FALSE))*1)),IF(Q99=0,0,(('[1]Target Risk'!$D$12*(VLOOKUP(A99,[1]!TOX,38,FALSE)))/(('GW-1 Exp'!$J$33*'GW-1 Derm'!Q99*(VLOOKUP(A99,[1]!TOX,12,FALSE))*10)+('GW-1 Exp'!$J$34*'GW-1 Derm'!Q99*(VLOOKUP(A99,[1]!TOX,12,FALSE))*3)+('GW-1 Exp'!$J$35*'GW-1 Derm'!Q99*(VLOOKUP(A99,[1]!TOX,12,FALSE))*3)+('GW-1 Exp'!$J$36*'GW-1 Derm'!Q99*(VLOOKUP(A99,[1]!TOX,12,FALSE))*1)))))))</f>
        <v>0</v>
      </c>
      <c r="AB99" s="838">
        <f>L99*IF('GW-1 Exp'!U$26&lt;=$E99,2*(VLOOKUP(A99,[1]!TOX,67,FALSE))*1*0.000001*SQRT(6*$C99*'GW-1 Exp'!$U$26/PI()),(VLOOKUP(A99,[1]!TOX,67,FALSE))*1*0.000001*('GW-1 Exp'!$U$26/(1+$B99)+2*$C99*(1+3*$B99+3*$B99^2)/(1+$B99)^2))</f>
        <v>0</v>
      </c>
      <c r="AC99" s="837">
        <f>L99*IF('GW-1 Exp'!U$27&lt;=$E99,2*(VLOOKUP(A99,[1]!TOX,67,FALSE))*1*0.000001*SQRT(6*$C99*'GW-1 Exp'!$U$27/PI()),(VLOOKUP(A99,[1]!TOX,67,FALSE))*1*0.000001*('GW-1 Exp'!$U$27/(1+$B99)+2*$C99*(1+3*$B99+3*$B99^2)/(1+$B99)^2))</f>
        <v>0</v>
      </c>
      <c r="AD99" s="837">
        <f>L99*IF('GW-1 Exp'!U$28&lt;=$E99,2*(VLOOKUP(A99,[1]!TOX,67,FALSE))*1*0.000001*SQRT(6*$C99*'GW-1 Exp'!$U$28/PI()),(VLOOKUP(A99,[1]!TOX,67,FALSE))*1*0.000001*('GW-1 Exp'!$U$28/(1+$B99)+2*$C99*(1+3*$B99+3*$B99^2)/(1+$B99)^2))</f>
        <v>0</v>
      </c>
      <c r="AE99" s="839">
        <f>L99*IF('GW-1 Exp'!U$29&lt;=$E99,2*(VLOOKUP(A99,[1]!TOX,67,FALSE))*1*0.000001*SQRT(6*$C99*'GW-1 Exp'!$U$29/PI()),(VLOOKUP(A99,[1]!TOX,67,FALSE))*1*0.000001*('GW-1 Exp'!$U$29/(1+$B99)+2*$C99*(1+3*$B99+3*$B99^2)/(1+$B99)^2))</f>
        <v>0</v>
      </c>
    </row>
    <row r="100" spans="1:31" ht="34.5" x14ac:dyDescent="0.25">
      <c r="A100" s="542" t="s">
        <v>1051</v>
      </c>
      <c r="B100" s="587">
        <f>(VLOOKUP(A100,[1]!TOX,67,FALSE))*(SQRT((VLOOKUP(A100,[1]!TOX,57,FALSE)))/2.6)</f>
        <v>0.61584032976955982</v>
      </c>
      <c r="C100" s="596">
        <f>('GW-1 Exp'!$O$29^2)/(6*D100)</f>
        <v>0.34885805057457464</v>
      </c>
      <c r="D100" s="483">
        <f>10^(-2.8-(0.0056*(VLOOKUP(A100,[1]!TOX,57,FALSE))))*'GW-1 Exp'!$O$29</f>
        <v>4.7774923465909431E-7</v>
      </c>
      <c r="E100" s="597">
        <f t="shared" ref="E100:E105" si="14">IF($B100=0,0,IF(B100&lt;=0.6,2.4*C100,F100))</f>
        <v>1.3971555929583015</v>
      </c>
      <c r="F100" s="597">
        <f>IF(B100&lt;=0.6,0,(G100-SQRT(G100^2-H100^2))*('GW-1 Exp'!$O$29^2/D100))</f>
        <v>1.3971555929583015</v>
      </c>
      <c r="G100" s="582">
        <f t="shared" si="12"/>
        <v>0.8400446706127821</v>
      </c>
      <c r="H100" s="598">
        <f t="shared" si="13"/>
        <v>0.82213133958788209</v>
      </c>
      <c r="I100" s="606">
        <f>IF('GW-1 Exp'!$U$13&lt;=$E100,2*(VLOOKUP(A100,[1]!TOX,67,FALSE))*1*0.000001*SQRT(6*$C100*'GW-1 Exp'!$U$13/PI()),(VLOOKUP(A100,[1]!TOX,67,FALSE))*1*0.000001*('GW-1 Exp'!$U$13/(1+$B100)+2*$C100*(1+3*$B100+3*$B100^2)/(1+$B100)^2))</f>
        <v>2.0870367075794219E-7</v>
      </c>
      <c r="J100" s="607">
        <f>IF('GW-1 Exp'!$U$21&lt;=$E100,2*(VLOOKUP(A100,[1]!TOX,67,FALSE))*1*0.000001*SQRT(6*$C100*'GW-1 Exp'!$U$21/PI()),(VLOOKUP(A100,[1]!TOX,67,FALSE))*1*0.000001*('GW-1 Exp'!$U$21/(1+$B100)+2*$C100*(1+3*$B100+3*$B100^2)/(1+$B100)^2))</f>
        <v>2.3716107789995673E-7</v>
      </c>
      <c r="K100" s="602"/>
      <c r="L100" s="554">
        <v>1</v>
      </c>
      <c r="M100" s="481">
        <f t="shared" ref="M100:M105" si="15">I100*L100</f>
        <v>2.0870367075794219E-7</v>
      </c>
      <c r="N100" s="483">
        <f t="shared" ref="N100:N105" si="16">J100*L100</f>
        <v>2.3716107789995673E-7</v>
      </c>
      <c r="O100" s="486" t="str">
        <f>IF(VLOOKUP(A100,[1]!TOX,81,FALSE)="Y","Inorganic",IF(K100="*","Streamlined",IF($E100=0,"Reduced Steady State",IF('GW-1 Exp'!$U$13&lt;=$E100,"Non-Steady State","Steady State"))))</f>
        <v>Non-Steady State</v>
      </c>
      <c r="P100" s="485" t="str">
        <f>IF(VLOOKUP(A100,[1]!TOX,81,FALSE)="Y","Inorganic",IF(K100="*","Streamlined",IF($E100=0,0,IF('GW-1 Exp'!$U$21&lt;=$E100,"Non-Steady State","Steady State"))))</f>
        <v>Non-Steady State</v>
      </c>
      <c r="Q100" s="563">
        <f>IF(K100=0,0,IF((VLOOKUP(A100,[1]!TOX,67,FALSE))=0,0,IF((VLOOKUP(A100,[1]!TOX,67,FALSE))&lt;0.5,0.2,1)))</f>
        <v>0</v>
      </c>
      <c r="R100" s="614">
        <f>IF(K100=0,IF(M100=0,0,('[1]Target Risk'!$D$8*(VLOOKUP(A100,[1]!TOX,4,FALSE))*(VLOOKUP(A100,[1]!TOX,37,FALSE)))/('GW-1 Exp'!$V$13*'GW-1 Derm'!$M100)),('[1]Target Risk'!$D$8*(VLOOKUP(A100,[1]!TOX,4,FALSE))*(VLOOKUP(A100,[1]!TOX,37,FALSE)))/('GW-1 Exp'!$J$18*'GW-1 Derm'!$Q100))</f>
        <v>94.381791019786874</v>
      </c>
      <c r="S100" s="574">
        <f>IF(OR(VLOOKUP(A100,[1]!TOX,12,FALSE)=0,VLOOKUP(A100,[1]!TOX,38,FALSE)=0),0,IF(K100=0,('[1]Target Risk'!$D$12*(VLOOKUP(A100,[1]!TOX,38,FALSE)))/('GW-1 Exp'!$V$21*'GW-1 Derm'!N100*(VLOOKUP(A100,[1]!TOX,12,FALSE))),IF(Q100=0,0,('[1]Target Risk'!$D$12*(VLOOKUP(A100,[1]!TOX,38,FALSE)))/('GW-1 Exp'!$J$26*'GW-1 Derm'!Q100*(VLOOKUP(A100,[1]!TOX,12,FALSE))))))</f>
        <v>0</v>
      </c>
      <c r="T100" s="575">
        <f>IF(OR(VLOOKUP(A100,[1]!TOX,12,FALSE)=0,VLOOKUP(A100,[1]!TOX,38,FALSE)=0),0,IF(NOT(VLOOKUP(A100,[1]!TOX,36,FALSE)="M"), IF(K100=0,('[1]Target Risk'!$D$12*(VLOOKUP(A100,[1]!TOX,38,FALSE)))/('GW-1 Exp'!$V$21*'GW-1 Derm'!N100*(VLOOKUP(A100,[1]!TOX,12,FALSE))),IF(Q100=0,0,('[1]Target Risk'!$D$12*(VLOOKUP(A100,[1]!TOX,38,FALSE)))/('GW-1 Exp'!$J$26*'GW-1 Derm'!Q100*(VLOOKUP(A100,[1]!TOX,12,FALSE))))), IF(K100=0,('[1]Target Risk'!$D$12*(VLOOKUP(A100,[1]!TOX,38,FALSE)))/(('GW-1 Exp'!$V$26*'GW-1 Derm'!AB100*(VLOOKUP(A100,[1]!TOX,12,FALSE))*10)+('GW-1 Exp'!$V$27*'GW-1 Derm'!AC100*(VLOOKUP(A100,[1]!TOX,12,FALSE))*3)+('GW-1 Exp'!$V$28*'GW-1 Derm'!AD100*(VLOOKUP(A100,[1]!TOX,12,FALSE))*3)+('GW-1 Exp'!$V$29*'GW-1 Derm'!AE100*(VLOOKUP(A100,[1]!TOX,12,FALSE))*1)),IF(Q100=0,0,(('[1]Target Risk'!$D$12*(VLOOKUP(A100,[1]!TOX,38,FALSE)))/(('GW-1 Exp'!$J$33*'GW-1 Derm'!Q100*(VLOOKUP(A100,[1]!TOX,12,FALSE))*10)+('GW-1 Exp'!$J$34*'GW-1 Derm'!Q100*(VLOOKUP(A100,[1]!TOX,12,FALSE))*3)+('GW-1 Exp'!$J$35*'GW-1 Derm'!Q100*(VLOOKUP(A100,[1]!TOX,12,FALSE))*3)+('GW-1 Exp'!$J$36*'GW-1 Derm'!Q100*(VLOOKUP(A100,[1]!TOX,12,FALSE))*1)))))))</f>
        <v>0</v>
      </c>
      <c r="AB100" s="838">
        <f>L100*IF('GW-1 Exp'!U$26&lt;=$E100,2*(VLOOKUP(A100,[1]!TOX,67,FALSE))*1*0.000001*SQRT(6*$C100*'GW-1 Exp'!$U$26/PI()),(VLOOKUP(A100,[1]!TOX,67,FALSE))*1*0.000001*('GW-1 Exp'!$U$26/(1+$B100)+2*$C100*(1+3*$B100+3*$B100^2)/(1+$B100)^2))</f>
        <v>1.9483199656778936E-7</v>
      </c>
      <c r="AC100" s="837">
        <f>L100*IF('GW-1 Exp'!U$27&lt;=$E100,2*(VLOOKUP(A100,[1]!TOX,67,FALSE))*1*0.000001*SQRT(6*$C100*'GW-1 Exp'!$U$27/PI()),(VLOOKUP(A100,[1]!TOX,67,FALSE))*1*0.000001*('GW-1 Exp'!$U$27/(1+$B100)+2*$C100*(1+3*$B100+3*$B100^2)/(1+$B100)^2))</f>
        <v>2.1141016557489759E-7</v>
      </c>
      <c r="AD100" s="837">
        <f>L100*IF('GW-1 Exp'!U$28&lt;=$E100,2*(VLOOKUP(A100,[1]!TOX,67,FALSE))*1*0.000001*SQRT(6*$C100*'GW-1 Exp'!$U$28/PI()),(VLOOKUP(A100,[1]!TOX,67,FALSE))*1*0.000001*('GW-1 Exp'!$U$28/(1+$B100)+2*$C100*(1+3*$B100+3*$B100^2)/(1+$B100)^2))</f>
        <v>2.2269319477028934E-7</v>
      </c>
      <c r="AE100" s="839">
        <f>L100*IF('GW-1 Exp'!U$29&lt;=$E100,2*(VLOOKUP(A100,[1]!TOX,67,FALSE))*1*0.000001*SQRT(6*$C100*'GW-1 Exp'!$U$29/PI()),(VLOOKUP(A100,[1]!TOX,67,FALSE))*1*0.000001*('GW-1 Exp'!$U$29/(1+$B100)+2*$C100*(1+3*$B100+3*$B100^2)/(1+$B100)^2))</f>
        <v>2.586700421584135E-7</v>
      </c>
    </row>
    <row r="101" spans="1:31" ht="34.5" x14ac:dyDescent="0.25">
      <c r="A101" s="540" t="s">
        <v>1052</v>
      </c>
      <c r="B101" s="587">
        <f>(VLOOKUP(A101,[1]!TOX,67,FALSE))*(SQRT((VLOOKUP(A101,[1]!TOX,57,FALSE)))/2.6)</f>
        <v>4.7909295673687033</v>
      </c>
      <c r="C101" s="596">
        <f>('GW-1 Exp'!$O$29^2)/(6*D101)</f>
        <v>0.71820553803104437</v>
      </c>
      <c r="D101" s="486">
        <f>10^(-2.8-(0.0056*(VLOOKUP(A101,[1]!TOX,57,FALSE))))*'GW-1 Exp'!$O$29</f>
        <v>2.3205984615989205E-7</v>
      </c>
      <c r="E101" s="597">
        <f t="shared" si="14"/>
        <v>3.1389204990285995</v>
      </c>
      <c r="F101" s="597">
        <f>IF(B101&lt;=0.6,0,(G101-SQRT(G101^2-H101^2))*('GW-1 Exp'!$O$29^2/D101))</f>
        <v>3.1389204990285995</v>
      </c>
      <c r="G101" s="582">
        <f t="shared" si="12"/>
        <v>16.500467434555418</v>
      </c>
      <c r="H101" s="598">
        <f t="shared" si="13"/>
        <v>4.8484908499668604</v>
      </c>
      <c r="I101" s="606">
        <f>IF('GW-1 Exp'!$U$13&lt;=$E101,2*(VLOOKUP(A101,[1]!TOX,67,FALSE))*1*0.000001*SQRT(6*$C101*'GW-1 Exp'!$U$13/PI()),(VLOOKUP(A101,[1]!TOX,67,FALSE))*1*0.000001*('GW-1 Exp'!$U$13/(1+$B101)+2*$C101*(1+3*$B101+3*$B101^2)/(1+$B101)^2))</f>
        <v>1.8404756995015202E-6</v>
      </c>
      <c r="J101" s="607">
        <f>IF('GW-1 Exp'!$U$21&lt;=$E101,2*(VLOOKUP(A101,[1]!TOX,67,FALSE))*1*0.000001*SQRT(6*$C101*'GW-1 Exp'!$U$21/PI()),(VLOOKUP(A101,[1]!TOX,67,FALSE))*1*0.000001*('GW-1 Exp'!$U$21/(1+$B101)+2*$C101*(1+3*$B101+3*$B101^2)/(1+$B101)^2))</f>
        <v>2.091430395820419E-6</v>
      </c>
      <c r="K101" s="602" t="s">
        <v>91</v>
      </c>
      <c r="L101" s="554">
        <v>1</v>
      </c>
      <c r="M101" s="481">
        <f t="shared" si="15"/>
        <v>1.8404756995015202E-6</v>
      </c>
      <c r="N101" s="483">
        <f t="shared" si="16"/>
        <v>2.091430395820419E-6</v>
      </c>
      <c r="O101" s="486" t="str">
        <f>IF(VLOOKUP(A101,[1]!TOX,81,FALSE)="Y","Inorganic",IF(K101="*","Streamlined",IF($E101=0,"Reduced Steady State",IF('GW-1 Exp'!$U$13&lt;=$E101,"Non-Steady State","Steady State"))))</f>
        <v>Streamlined</v>
      </c>
      <c r="P101" s="485" t="str">
        <f>IF(VLOOKUP(A101,[1]!TOX,81,FALSE)="Y","Inorganic",IF(K101="*","Streamlined",IF($E101=0,0,IF('GW-1 Exp'!$U$21&lt;=$E101,"Non-Steady State","Steady State"))))</f>
        <v>Streamlined</v>
      </c>
      <c r="Q101" s="563">
        <f>IF(K101=0,0,IF((VLOOKUP(A101,[1]!TOX,67,FALSE))=0,0,IF((VLOOKUP(A101,[1]!TOX,67,FALSE))&lt;0.5,0.2,1)))</f>
        <v>1</v>
      </c>
      <c r="R101" s="614">
        <f>IF(K101=0,IF(M101=0,0,('[1]Target Risk'!$D$8*(VLOOKUP(A101,[1]!TOX,4,FALSE))*(VLOOKUP(A101,[1]!TOX,37,FALSE)))/('GW-1 Exp'!$V$13*'GW-1 Derm'!$M101)),('[1]Target Risk'!$D$8*(VLOOKUP(A101,[1]!TOX,4,FALSE))*(VLOOKUP(A101,[1]!TOX,37,FALSE)))/('GW-1 Exp'!$J$18*'GW-1 Derm'!$Q101))</f>
        <v>324.38873626373635</v>
      </c>
      <c r="S101" s="574">
        <f>IF(OR(VLOOKUP(A101,[1]!TOX,12,FALSE)=0,VLOOKUP(A101,[1]!TOX,38,FALSE)=0),0,IF(K101=0,('[1]Target Risk'!$D$12*(VLOOKUP(A101,[1]!TOX,38,FALSE)))/('GW-1 Exp'!$V$21*'GW-1 Derm'!N101*(VLOOKUP(A101,[1]!TOX,12,FALSE))),IF(Q101=0,0,('[1]Target Risk'!$D$12*(VLOOKUP(A101,[1]!TOX,38,FALSE)))/('GW-1 Exp'!$J$26*'GW-1 Derm'!Q101*(VLOOKUP(A101,[1]!TOX,12,FALSE))))))</f>
        <v>0</v>
      </c>
      <c r="T101" s="575">
        <f>IF(OR(VLOOKUP(A101,[1]!TOX,12,FALSE)=0,VLOOKUP(A101,[1]!TOX,38,FALSE)=0),0,IF(NOT(VLOOKUP(A101,[1]!TOX,36,FALSE)="M"), IF(K101=0,('[1]Target Risk'!$D$12*(VLOOKUP(A101,[1]!TOX,38,FALSE)))/('GW-1 Exp'!$V$21*'GW-1 Derm'!N101*(VLOOKUP(A101,[1]!TOX,12,FALSE))),IF(Q101=0,0,('[1]Target Risk'!$D$12*(VLOOKUP(A101,[1]!TOX,38,FALSE)))/('GW-1 Exp'!$J$26*'GW-1 Derm'!Q101*(VLOOKUP(A101,[1]!TOX,12,FALSE))))), IF(K101=0,('[1]Target Risk'!$D$12*(VLOOKUP(A101,[1]!TOX,38,FALSE)))/(('GW-1 Exp'!$V$26*'GW-1 Derm'!AB101*(VLOOKUP(A101,[1]!TOX,12,FALSE))*10)+('GW-1 Exp'!$V$27*'GW-1 Derm'!AC101*(VLOOKUP(A101,[1]!TOX,12,FALSE))*3)+('GW-1 Exp'!$V$28*'GW-1 Derm'!AD101*(VLOOKUP(A101,[1]!TOX,12,FALSE))*3)+('GW-1 Exp'!$V$29*'GW-1 Derm'!AE101*(VLOOKUP(A101,[1]!TOX,12,FALSE))*1)),IF(Q101=0,0,(('[1]Target Risk'!$D$12*(VLOOKUP(A101,[1]!TOX,38,FALSE)))/(('GW-1 Exp'!$J$33*'GW-1 Derm'!Q101*(VLOOKUP(A101,[1]!TOX,12,FALSE))*10)+('GW-1 Exp'!$J$34*'GW-1 Derm'!Q101*(VLOOKUP(A101,[1]!TOX,12,FALSE))*3)+('GW-1 Exp'!$J$35*'GW-1 Derm'!Q101*(VLOOKUP(A101,[1]!TOX,12,FALSE))*3)+('GW-1 Exp'!$J$36*'GW-1 Derm'!Q101*(VLOOKUP(A101,[1]!TOX,12,FALSE))*1)))))))</f>
        <v>0</v>
      </c>
      <c r="AB101" s="838">
        <f>L101*IF('GW-1 Exp'!U$26&lt;=$E101,2*(VLOOKUP(A101,[1]!TOX,67,FALSE))*1*0.000001*SQRT(6*$C101*'GW-1 Exp'!$U$26/PI()),(VLOOKUP(A101,[1]!TOX,67,FALSE))*1*0.000001*('GW-1 Exp'!$U$26/(1+$B101)+2*$C101*(1+3*$B101+3*$B101^2)/(1+$B101)^2))</f>
        <v>1.7181468532207596E-6</v>
      </c>
      <c r="AC101" s="837">
        <f>L101*IF('GW-1 Exp'!U$27&lt;=$E101,2*(VLOOKUP(A101,[1]!TOX,67,FALSE))*1*0.000001*SQRT(6*$C101*'GW-1 Exp'!$U$27/PI()),(VLOOKUP(A101,[1]!TOX,67,FALSE))*1*0.000001*('GW-1 Exp'!$U$27/(1+$B101)+2*$C101*(1+3*$B101+3*$B101^2)/(1+$B101)^2))</f>
        <v>1.8643432142574564E-6</v>
      </c>
      <c r="AD101" s="837">
        <f>L101*IF('GW-1 Exp'!U$28&lt;=$E101,2*(VLOOKUP(A101,[1]!TOX,67,FALSE))*1*0.000001*SQRT(6*$C101*'GW-1 Exp'!$U$28/PI()),(VLOOKUP(A101,[1]!TOX,67,FALSE))*1*0.000001*('GW-1 Exp'!$U$28/(1+$B101)+2*$C101*(1+3*$B101+3*$B101^2)/(1+$B101)^2))</f>
        <v>1.9638438170761273E-6</v>
      </c>
      <c r="AE101" s="839">
        <f>L101*IF('GW-1 Exp'!U$29&lt;=$E101,2*(VLOOKUP(A101,[1]!TOX,67,FALSE))*1*0.000001*SQRT(6*$C101*'GW-1 Exp'!$U$29/PI()),(VLOOKUP(A101,[1]!TOX,67,FALSE))*1*0.000001*('GW-1 Exp'!$U$29/(1+$B101)+2*$C101*(1+3*$B101+3*$B101^2)/(1+$B101)^2))</f>
        <v>2.2811095035015184E-6</v>
      </c>
    </row>
    <row r="102" spans="1:31" ht="34.5" x14ac:dyDescent="0.25">
      <c r="A102" s="543" t="s">
        <v>1053</v>
      </c>
      <c r="B102" s="587">
        <f>(VLOOKUP(A102,[1]!TOX,67,FALSE))*(SQRT((VLOOKUP(A102,[1]!TOX,57,FALSE)))/2.6)</f>
        <v>7.3901135718543092</v>
      </c>
      <c r="C102" s="596">
        <f>('GW-1 Exp'!$O$29^2)/(6*D102)</f>
        <v>0.94156162468717197</v>
      </c>
      <c r="D102" s="486">
        <f>10^(-2.8-(0.0056*(VLOOKUP(A102,[1]!TOX,57,FALSE))))*'GW-1 Exp'!$O$29</f>
        <v>1.770108958317419E-7</v>
      </c>
      <c r="E102" s="597">
        <f t="shared" si="14"/>
        <v>4.2130109948572185</v>
      </c>
      <c r="F102" s="597">
        <f>IF(B102&lt;=0.6,0,(G102-SQRT(G102^2-H102^2))*('GW-1 Exp'!$O$29^2/D102))</f>
        <v>4.2130109948572185</v>
      </c>
      <c r="G102" s="582">
        <f t="shared" si="12"/>
        <v>37.3843730445614</v>
      </c>
      <c r="H102" s="598">
        <f t="shared" si="13"/>
        <v>7.4298428711633839</v>
      </c>
      <c r="I102" s="606">
        <f>IF('GW-1 Exp'!$U$13&lt;=$E102,2*(VLOOKUP(A102,[1]!TOX,67,FALSE))*1*0.000001*SQRT(6*$C102*'GW-1 Exp'!$U$13/PI()),(VLOOKUP(A102,[1]!TOX,67,FALSE))*1*0.000001*('GW-1 Exp'!$U$13/(1+$B102)+2*$C102*(1+3*$B102+3*$B102^2)/(1+$B102)^2))</f>
        <v>3.0431971439152871E-6</v>
      </c>
      <c r="J102" s="607">
        <f>IF('GW-1 Exp'!$U$21&lt;=$E102,2*(VLOOKUP(A102,[1]!TOX,67,FALSE))*1*0.000001*SQRT(6*$C102*'GW-1 Exp'!$U$21/PI()),(VLOOKUP(A102,[1]!TOX,67,FALSE))*1*0.000001*('GW-1 Exp'!$U$21/(1+$B102)+2*$C102*(1+3*$B102+3*$B102^2)/(1+$B102)^2))</f>
        <v>3.4581467220578539E-6</v>
      </c>
      <c r="K102" s="602" t="s">
        <v>91</v>
      </c>
      <c r="L102" s="554">
        <v>1</v>
      </c>
      <c r="M102" s="481">
        <f t="shared" si="15"/>
        <v>3.0431971439152871E-6</v>
      </c>
      <c r="N102" s="483">
        <f t="shared" si="16"/>
        <v>3.4581467220578539E-6</v>
      </c>
      <c r="O102" s="486" t="str">
        <f>IF(VLOOKUP(A102,[1]!TOX,81,FALSE)="Y","Inorganic",IF(K102="*","Streamlined",IF($E102=0,"Reduced Steady State",IF('GW-1 Exp'!$U$13&lt;=$E102,"Non-Steady State","Steady State"))))</f>
        <v>Streamlined</v>
      </c>
      <c r="P102" s="485" t="str">
        <f>IF(VLOOKUP(A102,[1]!TOX,81,FALSE)="Y","Inorganic",IF(K102="*","Streamlined",IF($E102=0,0,IF('GW-1 Exp'!$U$21&lt;=$E102,"Non-Steady State","Steady State"))))</f>
        <v>Streamlined</v>
      </c>
      <c r="Q102" s="563">
        <f>IF(K102=0,0,IF((VLOOKUP(A102,[1]!TOX,67,FALSE))=0,0,IF((VLOOKUP(A102,[1]!TOX,67,FALSE))&lt;0.5,0.2,1)))</f>
        <v>1</v>
      </c>
      <c r="R102" s="614">
        <f>IF(K102=0,IF(M102=0,0,('[1]Target Risk'!$D$8*(VLOOKUP(A102,[1]!TOX,4,FALSE))*(VLOOKUP(A102,[1]!TOX,37,FALSE)))/('GW-1 Exp'!$V$13*'GW-1 Derm'!$M102)),('[1]Target Risk'!$D$8*(VLOOKUP(A102,[1]!TOX,4,FALSE))*(VLOOKUP(A102,[1]!TOX,37,FALSE)))/('GW-1 Exp'!$J$18*'GW-1 Derm'!$Q102))</f>
        <v>324.38873626373635</v>
      </c>
      <c r="S102" s="574">
        <f>IF(OR(VLOOKUP(A102,[1]!TOX,12,FALSE)=0,VLOOKUP(A102,[1]!TOX,38,FALSE)=0),0,IF(K102=0,('[1]Target Risk'!$D$12*(VLOOKUP(A102,[1]!TOX,38,FALSE)))/('GW-1 Exp'!$V$21*'GW-1 Derm'!N102*(VLOOKUP(A102,[1]!TOX,12,FALSE))),IF(Q102=0,0,('[1]Target Risk'!$D$12*(VLOOKUP(A102,[1]!TOX,38,FALSE)))/('GW-1 Exp'!$J$26*'GW-1 Derm'!Q102*(VLOOKUP(A102,[1]!TOX,12,FALSE))))))</f>
        <v>0</v>
      </c>
      <c r="T102" s="575">
        <f>IF(OR(VLOOKUP(A102,[1]!TOX,12,FALSE)=0,VLOOKUP(A102,[1]!TOX,38,FALSE)=0),0,IF(NOT(VLOOKUP(A102,[1]!TOX,36,FALSE)="M"), IF(K102=0,('[1]Target Risk'!$D$12*(VLOOKUP(A102,[1]!TOX,38,FALSE)))/('GW-1 Exp'!$V$21*'GW-1 Derm'!N102*(VLOOKUP(A102,[1]!TOX,12,FALSE))),IF(Q102=0,0,('[1]Target Risk'!$D$12*(VLOOKUP(A102,[1]!TOX,38,FALSE)))/('GW-1 Exp'!$J$26*'GW-1 Derm'!Q102*(VLOOKUP(A102,[1]!TOX,12,FALSE))))), IF(K102=0,('[1]Target Risk'!$D$12*(VLOOKUP(A102,[1]!TOX,38,FALSE)))/(('GW-1 Exp'!$V$26*'GW-1 Derm'!AB102*(VLOOKUP(A102,[1]!TOX,12,FALSE))*10)+('GW-1 Exp'!$V$27*'GW-1 Derm'!AC102*(VLOOKUP(A102,[1]!TOX,12,FALSE))*3)+('GW-1 Exp'!$V$28*'GW-1 Derm'!AD102*(VLOOKUP(A102,[1]!TOX,12,FALSE))*3)+('GW-1 Exp'!$V$29*'GW-1 Derm'!AE102*(VLOOKUP(A102,[1]!TOX,12,FALSE))*1)),IF(Q102=0,0,(('[1]Target Risk'!$D$12*(VLOOKUP(A102,[1]!TOX,38,FALSE)))/(('GW-1 Exp'!$J$33*'GW-1 Derm'!Q102*(VLOOKUP(A102,[1]!TOX,12,FALSE))*10)+('GW-1 Exp'!$J$34*'GW-1 Derm'!Q102*(VLOOKUP(A102,[1]!TOX,12,FALSE))*3)+('GW-1 Exp'!$J$35*'GW-1 Derm'!Q102*(VLOOKUP(A102,[1]!TOX,12,FALSE))*3)+('GW-1 Exp'!$J$36*'GW-1 Derm'!Q102*(VLOOKUP(A102,[1]!TOX,12,FALSE))*1)))))))</f>
        <v>0</v>
      </c>
      <c r="AB102" s="838">
        <f>L102*IF('GW-1 Exp'!U$26&lt;=$E102,2*(VLOOKUP(A102,[1]!TOX,67,FALSE))*1*0.000001*SQRT(6*$C102*'GW-1 Exp'!$U$26/PI()),(VLOOKUP(A102,[1]!TOX,67,FALSE))*1*0.000001*('GW-1 Exp'!$U$26/(1+$B102)+2*$C102*(1+3*$B102+3*$B102^2)/(1+$B102)^2))</f>
        <v>2.8409283523627068E-6</v>
      </c>
      <c r="AC102" s="837">
        <f>L102*IF('GW-1 Exp'!U$27&lt;=$E102,2*(VLOOKUP(A102,[1]!TOX,67,FALSE))*1*0.000001*SQRT(6*$C102*'GW-1 Exp'!$U$27/PI()),(VLOOKUP(A102,[1]!TOX,67,FALSE))*1*0.000001*('GW-1 Exp'!$U$27/(1+$B102)+2*$C102*(1+3*$B102+3*$B102^2)/(1+$B102)^2))</f>
        <v>3.0826616979744869E-6</v>
      </c>
      <c r="AD102" s="837">
        <f>L102*IF('GW-1 Exp'!U$28&lt;=$E102,2*(VLOOKUP(A102,[1]!TOX,67,FALSE))*1*0.000001*SQRT(6*$C102*'GW-1 Exp'!$U$28/PI()),(VLOOKUP(A102,[1]!TOX,67,FALSE))*1*0.000001*('GW-1 Exp'!$U$28/(1+$B102)+2*$C102*(1+3*$B102+3*$B102^2)/(1+$B102)^2))</f>
        <v>3.2471843539365515E-6</v>
      </c>
      <c r="AE102" s="839">
        <f>L102*IF('GW-1 Exp'!U$29&lt;=$E102,2*(VLOOKUP(A102,[1]!TOX,67,FALSE))*1*0.000001*SQRT(6*$C102*'GW-1 Exp'!$U$29/PI()),(VLOOKUP(A102,[1]!TOX,67,FALSE))*1*0.000001*('GW-1 Exp'!$U$29/(1+$B102)+2*$C102*(1+3*$B102+3*$B102^2)/(1+$B102)^2))</f>
        <v>3.7717780940514424E-6</v>
      </c>
    </row>
    <row r="103" spans="1:31" ht="20.399999999999999" customHeight="1" x14ac:dyDescent="0.25">
      <c r="A103" s="540" t="s">
        <v>1054</v>
      </c>
      <c r="B103" s="587">
        <f>(VLOOKUP(A103,[1]!TOX,67,FALSE))*(SQRT((VLOOKUP(A103,[1]!TOX,57,FALSE)))/2.6)</f>
        <v>0</v>
      </c>
      <c r="C103" s="596">
        <f>('GW-1 Exp'!$O$29^2)/(6*D103)</f>
        <v>0.10515955741336554</v>
      </c>
      <c r="D103" s="486">
        <f>10^(-2.8-(0.0056*(VLOOKUP(A103,[1]!TOX,57,FALSE))))*'GW-1 Exp'!$O$29</f>
        <v>1.5848931924611134E-6</v>
      </c>
      <c r="E103" s="597">
        <f t="shared" si="14"/>
        <v>0</v>
      </c>
      <c r="F103" s="597">
        <f>IF(B103&lt;=0.6,0,(G103-SQRT(G103^2-H103^2))*('GW-1 Exp'!$O$29^2/D103))</f>
        <v>0</v>
      </c>
      <c r="G103" s="582">
        <f t="shared" si="12"/>
        <v>0.30328643903424807</v>
      </c>
      <c r="H103" s="598">
        <f t="shared" si="13"/>
        <v>0.33333333333333331</v>
      </c>
      <c r="I103" s="606">
        <f>IF('GW-1 Exp'!$U$13&lt;=$E103,2*(VLOOKUP(A103,[1]!TOX,67,FALSE))*1*0.000001*SQRT(6*$C103*'GW-1 Exp'!$U$13/PI()),(VLOOKUP(A103,[1]!TOX,67,FALSE))*1*0.000001*('GW-1 Exp'!$U$13/(1+$B103)+2*$C103*(1+3*$B103+3*$B103^2)/(1+$B103)^2))</f>
        <v>0</v>
      </c>
      <c r="J103" s="607">
        <f>IF('GW-1 Exp'!$U$21&lt;=$E103,2*(VLOOKUP(A103,[1]!TOX,67,FALSE))*1*0.000001*SQRT(6*$C103*'GW-1 Exp'!$U$21/PI()),(VLOOKUP(A103,[1]!TOX,67,FALSE))*1*0.000001*('GW-1 Exp'!$U$21/(1+$B103)+2*$C103*(1+3*$B103+3*$B103^2)/(1+$B103)^2))</f>
        <v>0</v>
      </c>
      <c r="K103" s="602"/>
      <c r="L103" s="554">
        <v>1</v>
      </c>
      <c r="M103" s="481">
        <f t="shared" si="15"/>
        <v>0</v>
      </c>
      <c r="N103" s="483">
        <f t="shared" si="16"/>
        <v>0</v>
      </c>
      <c r="O103" s="486" t="str">
        <f>IF(VLOOKUP(A103,[1]!TOX,81,FALSE)="Y","Inorganic",IF(K103="*","Streamlined",IF($E103=0,"Reduced Steady State",IF('GW-1 Exp'!$U$13&lt;=$E103,"Non-Steady State","Steady State"))))</f>
        <v>Reduced Steady State</v>
      </c>
      <c r="P103" s="485">
        <f>IF(VLOOKUP(A103,[1]!TOX,81,FALSE)="Y","Inorganic",IF(K103="*","Streamlined",IF($E103=0,0,IF('GW-1 Exp'!$U$21&lt;=$E103,"Non-Steady State","Steady State"))))</f>
        <v>0</v>
      </c>
      <c r="Q103" s="563">
        <f>IF(K103=0,0,IF((VLOOKUP(A103,[1]!TOX,67,FALSE))=0,0,IF((VLOOKUP(A103,[1]!TOX,67,FALSE))&lt;0.5,0.2,1)))</f>
        <v>0</v>
      </c>
      <c r="R103" s="614">
        <f>IF(K103=0,IF(M103=0,0,('[1]Target Risk'!$D$8*(VLOOKUP(A103,[1]!TOX,4,FALSE))*(VLOOKUP(A103,[1]!TOX,37,FALSE)))/('GW-1 Exp'!$V$13*'GW-1 Derm'!$M103)),('[1]Target Risk'!$D$8*(VLOOKUP(A103,[1]!TOX,4,FALSE))*(VLOOKUP(A103,[1]!TOX,37,FALSE)))/('GW-1 Exp'!$J$18*'GW-1 Derm'!$Q103))</f>
        <v>0</v>
      </c>
      <c r="S103" s="574">
        <f>IF(OR(VLOOKUP(A103,[1]!TOX,12,FALSE)=0,VLOOKUP(A103,[1]!TOX,38,FALSE)=0),0,IF(K103=0,('[1]Target Risk'!$D$12*(VLOOKUP(A103,[1]!TOX,38,FALSE)))/('GW-1 Exp'!$V$21*'GW-1 Derm'!N103*(VLOOKUP(A103,[1]!TOX,12,FALSE))),IF(Q103=0,0,('[1]Target Risk'!$D$12*(VLOOKUP(A103,[1]!TOX,38,FALSE)))/('GW-1 Exp'!$J$26*'GW-1 Derm'!Q103*(VLOOKUP(A103,[1]!TOX,12,FALSE))))))</f>
        <v>0</v>
      </c>
      <c r="T103" s="575">
        <f>IF(OR(VLOOKUP(A103,[1]!TOX,12,FALSE)=0,VLOOKUP(A103,[1]!TOX,38,FALSE)=0),0,IF(NOT(VLOOKUP(A103,[1]!TOX,36,FALSE)="M"), IF(K103=0,('[1]Target Risk'!$D$12*(VLOOKUP(A103,[1]!TOX,38,FALSE)))/('GW-1 Exp'!$V$21*'GW-1 Derm'!N103*(VLOOKUP(A103,[1]!TOX,12,FALSE))),IF(Q103=0,0,('[1]Target Risk'!$D$12*(VLOOKUP(A103,[1]!TOX,38,FALSE)))/('GW-1 Exp'!$J$26*'GW-1 Derm'!Q103*(VLOOKUP(A103,[1]!TOX,12,FALSE))))), IF(K103=0,('[1]Target Risk'!$D$12*(VLOOKUP(A103,[1]!TOX,38,FALSE)))/(('GW-1 Exp'!$V$26*'GW-1 Derm'!AB103*(VLOOKUP(A103,[1]!TOX,12,FALSE))*10)+('GW-1 Exp'!$V$27*'GW-1 Derm'!AC103*(VLOOKUP(A103,[1]!TOX,12,FALSE))*3)+('GW-1 Exp'!$V$28*'GW-1 Derm'!AD103*(VLOOKUP(A103,[1]!TOX,12,FALSE))*3)+('GW-1 Exp'!$V$29*'GW-1 Derm'!AE103*(VLOOKUP(A103,[1]!TOX,12,FALSE))*1)),IF(Q103=0,0,(('[1]Target Risk'!$D$12*(VLOOKUP(A103,[1]!TOX,38,FALSE)))/(('GW-1 Exp'!$J$33*'GW-1 Derm'!Q103*(VLOOKUP(A103,[1]!TOX,12,FALSE))*10)+('GW-1 Exp'!$J$34*'GW-1 Derm'!Q103*(VLOOKUP(A103,[1]!TOX,12,FALSE))*3)+('GW-1 Exp'!$J$35*'GW-1 Derm'!Q103*(VLOOKUP(A103,[1]!TOX,12,FALSE))*3)+('GW-1 Exp'!$J$36*'GW-1 Derm'!Q103*(VLOOKUP(A103,[1]!TOX,12,FALSE))*1)))))))</f>
        <v>0</v>
      </c>
      <c r="AB103" s="838">
        <f>L103*IF('GW-1 Exp'!U$26&lt;=$E103,2*(VLOOKUP(A103,[1]!TOX,67,FALSE))*1*0.000001*SQRT(6*$C103*'GW-1 Exp'!$U$26/PI()),(VLOOKUP(A103,[1]!TOX,67,FALSE))*1*0.000001*('GW-1 Exp'!$U$26/(1+$B103)+2*$C103*(1+3*$B103+3*$B103^2)/(1+$B103)^2))</f>
        <v>0</v>
      </c>
      <c r="AC103" s="837">
        <f>L103*IF('GW-1 Exp'!U$27&lt;=$E103,2*(VLOOKUP(A103,[1]!TOX,67,FALSE))*1*0.000001*SQRT(6*$C103*'GW-1 Exp'!$U$27/PI()),(VLOOKUP(A103,[1]!TOX,67,FALSE))*1*0.000001*('GW-1 Exp'!$U$27/(1+$B103)+2*$C103*(1+3*$B103+3*$B103^2)/(1+$B103)^2))</f>
        <v>0</v>
      </c>
      <c r="AD103" s="837">
        <f>L103*IF('GW-1 Exp'!U$28&lt;=$E103,2*(VLOOKUP(A103,[1]!TOX,67,FALSE))*1*0.000001*SQRT(6*$C103*'GW-1 Exp'!$U$28/PI()),(VLOOKUP(A103,[1]!TOX,67,FALSE))*1*0.000001*('GW-1 Exp'!$U$28/(1+$B103)+2*$C103*(1+3*$B103+3*$B103^2)/(1+$B103)^2))</f>
        <v>0</v>
      </c>
      <c r="AE103" s="839">
        <f>L103*IF('GW-1 Exp'!U$29&lt;=$E103,2*(VLOOKUP(A103,[1]!TOX,67,FALSE))*1*0.000001*SQRT(6*$C103*'GW-1 Exp'!$U$29/PI()),(VLOOKUP(A103,[1]!TOX,67,FALSE))*1*0.000001*('GW-1 Exp'!$U$29/(1+$B103)+2*$C103*(1+3*$B103+3*$B103^2)/(1+$B103)^2))</f>
        <v>0</v>
      </c>
    </row>
    <row r="104" spans="1:31" ht="34.5" x14ac:dyDescent="0.25">
      <c r="A104" s="542" t="s">
        <v>1055</v>
      </c>
      <c r="B104" s="587">
        <f>(VLOOKUP(A104,[1]!TOX,67,FALSE))*(SQRT((VLOOKUP(A104,[1]!TOX,57,FALSE)))/2.6)</f>
        <v>0.55772135657274702</v>
      </c>
      <c r="C104" s="596">
        <f>('GW-1 Exp'!$O$29^2)/(6*D104)</f>
        <v>0.49413856492072428</v>
      </c>
      <c r="D104" s="483">
        <f>10^(-2.8-(0.0056*(VLOOKUP(A104,[1]!TOX,57,FALSE))))*'GW-1 Exp'!$O$29</f>
        <v>3.372873086588685E-7</v>
      </c>
      <c r="E104" s="597">
        <f t="shared" si="14"/>
        <v>1.1859325558097382</v>
      </c>
      <c r="F104" s="597">
        <f>IF(B104&lt;=0.6,0,(G104-SQRT(G104^2-H104^2))*('GW-1 Exp'!$O$29^2/D104))</f>
        <v>0</v>
      </c>
      <c r="G104" s="582">
        <f t="shared" si="12"/>
        <v>0.77304608405205544</v>
      </c>
      <c r="H104" s="598">
        <f t="shared" si="13"/>
        <v>0.7717091355338852</v>
      </c>
      <c r="I104" s="606">
        <f>IF('GW-1 Exp'!$U$13&lt;=$E104,2*(VLOOKUP(A104,[1]!TOX,67,FALSE))*1*0.000001*SQRT(6*$C104*'GW-1 Exp'!$U$13/PI()),(VLOOKUP(A104,[1]!TOX,67,FALSE))*1*0.000001*('GW-1 Exp'!$U$13/(1+$B104)+2*$C104*(1+3*$B104+3*$B104^2)/(1+$B104)^2))</f>
        <v>1.9802958970631878E-7</v>
      </c>
      <c r="J104" s="607">
        <f>IF('GW-1 Exp'!$U$21&lt;=$E104,2*(VLOOKUP(A104,[1]!TOX,67,FALSE))*1*0.000001*SQRT(6*$C104*'GW-1 Exp'!$U$21/PI()),(VLOOKUP(A104,[1]!TOX,67,FALSE))*1*0.000001*('GW-1 Exp'!$U$21/(1+$B104)+2*$C104*(1+3*$B104+3*$B104^2)/(1+$B104)^2))</f>
        <v>2.2503155205788109E-7</v>
      </c>
      <c r="K104" s="602"/>
      <c r="L104" s="554">
        <v>1</v>
      </c>
      <c r="M104" s="481">
        <f t="shared" si="15"/>
        <v>1.9802958970631878E-7</v>
      </c>
      <c r="N104" s="483">
        <f t="shared" si="16"/>
        <v>2.2503155205788109E-7</v>
      </c>
      <c r="O104" s="486" t="str">
        <f>IF(VLOOKUP(A104,[1]!TOX,81,FALSE)="Y","Inorganic",IF(K104="*","Streamlined",IF($E104=0,"Reduced Steady State",IF('GW-1 Exp'!$U$13&lt;=$E104,"Non-Steady State","Steady State"))))</f>
        <v>Non-Steady State</v>
      </c>
      <c r="P104" s="485" t="str">
        <f>IF(VLOOKUP(A104,[1]!TOX,81,FALSE)="Y","Inorganic",IF(K104="*","Streamlined",IF($E104=0,0,IF('GW-1 Exp'!$U$21&lt;=$E104,"Non-Steady State","Steady State"))))</f>
        <v>Non-Steady State</v>
      </c>
      <c r="Q104" s="563">
        <f>IF(K104=0,0,IF((VLOOKUP(A104,[1]!TOX,67,FALSE))=0,0,IF((VLOOKUP(A104,[1]!TOX,67,FALSE))&lt;0.5,0.2,1)))</f>
        <v>0</v>
      </c>
      <c r="R104" s="614">
        <f>IF(K104=0,IF(M104=0,0,('[1]Target Risk'!$D$8*(VLOOKUP(A104,[1]!TOX,4,FALSE))*(VLOOKUP(A104,[1]!TOX,37,FALSE)))/('GW-1 Exp'!$V$13*'GW-1 Derm'!$M104)),('[1]Target Risk'!$D$8*(VLOOKUP(A104,[1]!TOX,4,FALSE))*(VLOOKUP(A104,[1]!TOX,37,FALSE)))/('GW-1 Exp'!$J$18*'GW-1 Derm'!$Q104))</f>
        <v>74.601829457976649</v>
      </c>
      <c r="S104" s="574">
        <f>IF(OR(VLOOKUP(A104,[1]!TOX,12,FALSE)=0,VLOOKUP(A104,[1]!TOX,38,FALSE)=0),0,IF(K104=0,('[1]Target Risk'!$D$12*(VLOOKUP(A104,[1]!TOX,38,FALSE)))/('GW-1 Exp'!$V$21*'GW-1 Derm'!N104*(VLOOKUP(A104,[1]!TOX,12,FALSE))),IF(Q104=0,0,('[1]Target Risk'!$D$12*(VLOOKUP(A104,[1]!TOX,38,FALSE)))/('GW-1 Exp'!$J$26*'GW-1 Derm'!Q104*(VLOOKUP(A104,[1]!TOX,12,FALSE))))))</f>
        <v>0</v>
      </c>
      <c r="T104" s="575">
        <f>IF(OR(VLOOKUP(A104,[1]!TOX,12,FALSE)=0,VLOOKUP(A104,[1]!TOX,38,FALSE)=0),0,IF(NOT(VLOOKUP(A104,[1]!TOX,36,FALSE)="M"), IF(K104=0,('[1]Target Risk'!$D$12*(VLOOKUP(A104,[1]!TOX,38,FALSE)))/('GW-1 Exp'!$V$21*'GW-1 Derm'!N104*(VLOOKUP(A104,[1]!TOX,12,FALSE))),IF(Q104=0,0,('[1]Target Risk'!$D$12*(VLOOKUP(A104,[1]!TOX,38,FALSE)))/('GW-1 Exp'!$J$26*'GW-1 Derm'!Q104*(VLOOKUP(A104,[1]!TOX,12,FALSE))))), IF(K104=0,('[1]Target Risk'!$D$12*(VLOOKUP(A104,[1]!TOX,38,FALSE)))/(('GW-1 Exp'!$V$26*'GW-1 Derm'!AB104*(VLOOKUP(A104,[1]!TOX,12,FALSE))*10)+('GW-1 Exp'!$V$27*'GW-1 Derm'!AC104*(VLOOKUP(A104,[1]!TOX,12,FALSE))*3)+('GW-1 Exp'!$V$28*'GW-1 Derm'!AD104*(VLOOKUP(A104,[1]!TOX,12,FALSE))*3)+('GW-1 Exp'!$V$29*'GW-1 Derm'!AE104*(VLOOKUP(A104,[1]!TOX,12,FALSE))*1)),IF(Q104=0,0,(('[1]Target Risk'!$D$12*(VLOOKUP(A104,[1]!TOX,38,FALSE)))/(('GW-1 Exp'!$J$33*'GW-1 Derm'!Q104*(VLOOKUP(A104,[1]!TOX,12,FALSE))*10)+('GW-1 Exp'!$J$34*'GW-1 Derm'!Q104*(VLOOKUP(A104,[1]!TOX,12,FALSE))*3)+('GW-1 Exp'!$J$35*'GW-1 Derm'!Q104*(VLOOKUP(A104,[1]!TOX,12,FALSE))*3)+('GW-1 Exp'!$J$36*'GW-1 Derm'!Q104*(VLOOKUP(A104,[1]!TOX,12,FALSE))*1)))))))</f>
        <v>0</v>
      </c>
      <c r="AB104" s="838">
        <f>L104*IF('GW-1 Exp'!U$26&lt;=$E104,2*(VLOOKUP(A104,[1]!TOX,67,FALSE))*1*0.000001*SQRT(6*$C104*'GW-1 Exp'!$U$26/PI()),(VLOOKUP(A104,[1]!TOX,67,FALSE))*1*0.000001*('GW-1 Exp'!$U$26/(1+$B104)+2*$C104*(1+3*$B104+3*$B104^2)/(1+$B104)^2))</f>
        <v>1.8486737776035969E-7</v>
      </c>
      <c r="AC104" s="837">
        <f>L104*IF('GW-1 Exp'!U$27&lt;=$E104,2*(VLOOKUP(A104,[1]!TOX,67,FALSE))*1*0.000001*SQRT(6*$C104*'GW-1 Exp'!$U$27/PI()),(VLOOKUP(A104,[1]!TOX,67,FALSE))*1*0.000001*('GW-1 Exp'!$U$27/(1+$B104)+2*$C104*(1+3*$B104+3*$B104^2)/(1+$B104)^2))</f>
        <v>2.0059766173014809E-7</v>
      </c>
      <c r="AD104" s="837">
        <f>L104*IF('GW-1 Exp'!U$28&lt;=$E104,2*(VLOOKUP(A104,[1]!TOX,67,FALSE))*1*0.000001*SQRT(6*$C104*'GW-1 Exp'!$U$28/PI()),(VLOOKUP(A104,[1]!TOX,67,FALSE))*1*0.000001*('GW-1 Exp'!$U$28/(1+$B104)+2*$C104*(1+3*$B104+3*$B104^2)/(1+$B104)^2))</f>
        <v>2.1130362408382086E-7</v>
      </c>
      <c r="AE104" s="839">
        <f>L104*IF('GW-1 Exp'!U$29&lt;=$E104,2*(VLOOKUP(A104,[1]!TOX,67,FALSE))*1*0.000001*SQRT(6*$C104*'GW-1 Exp'!$U$29/PI()),(VLOOKUP(A104,[1]!TOX,67,FALSE))*1*0.000001*('GW-1 Exp'!$U$29/(1+$B104)+2*$C104*(1+3*$B104+3*$B104^2)/(1+$B104)^2))</f>
        <v>2.4544044736691571E-7</v>
      </c>
    </row>
    <row r="105" spans="1:31" ht="34.5" x14ac:dyDescent="0.25">
      <c r="A105" s="540" t="s">
        <v>1056</v>
      </c>
      <c r="B105" s="587">
        <f>(VLOOKUP(A105,[1]!TOX,67,FALSE))*(SQRT((VLOOKUP(A105,[1]!TOX,57,FALSE)))/2.6)</f>
        <v>2.4687225359490821</v>
      </c>
      <c r="C105" s="596">
        <f>('GW-1 Exp'!$O$29^2)/(6*D105)</f>
        <v>0.72752638706694384</v>
      </c>
      <c r="D105" s="486">
        <f>10^(-2.8-(0.0056*(VLOOKUP(A105,[1]!TOX,57,FALSE))))*'GW-1 Exp'!$O$29</f>
        <v>2.2908676527677713E-7</v>
      </c>
      <c r="E105" s="597">
        <f t="shared" si="14"/>
        <v>3.0234979198580128</v>
      </c>
      <c r="F105" s="597">
        <f>IF(B105&lt;=0.6,0,(G105-SQRT(G105^2-H105^2))*('GW-1 Exp'!$O$29^2/D105))</f>
        <v>3.0234979198580128</v>
      </c>
      <c r="G105" s="582">
        <f t="shared" si="12"/>
        <v>5.0950126465308472</v>
      </c>
      <c r="H105" s="598">
        <f t="shared" si="13"/>
        <v>2.5648193928982148</v>
      </c>
      <c r="I105" s="606">
        <f>IF('GW-1 Exp'!$U$13&lt;=$E105,2*(VLOOKUP(A105,[1]!TOX,67,FALSE))*1*0.000001*SQRT(6*$C105*'GW-1 Exp'!$U$13/PI()),(VLOOKUP(A105,[1]!TOX,67,FALSE))*1*0.000001*('GW-1 Exp'!$U$13/(1+$B105)+2*$C105*(1+3*$B105+3*$B105^2)/(1+$B105)^2))</f>
        <v>9.5132758016841132E-7</v>
      </c>
      <c r="J105" s="607">
        <f>IF('GW-1 Exp'!$U$21&lt;=$E105,2*(VLOOKUP(A105,[1]!TOX,67,FALSE))*1*0.000001*SQRT(6*$C105*'GW-1 Exp'!$U$21/PI()),(VLOOKUP(A105,[1]!TOX,67,FALSE))*1*0.000001*('GW-1 Exp'!$U$21/(1+$B105)+2*$C105*(1+3*$B105+3*$B105^2)/(1+$B105)^2))</f>
        <v>1.0810441116312379E-6</v>
      </c>
      <c r="K105" s="602" t="s">
        <v>91</v>
      </c>
      <c r="L105" s="554">
        <v>1</v>
      </c>
      <c r="M105" s="481">
        <f t="shared" si="15"/>
        <v>9.5132758016841132E-7</v>
      </c>
      <c r="N105" s="483">
        <f t="shared" si="16"/>
        <v>1.0810441116312379E-6</v>
      </c>
      <c r="O105" s="486" t="str">
        <f>IF(VLOOKUP(A105,[1]!TOX,81,FALSE)="Y","Inorganic",IF(K105="*","Streamlined",IF($E105=0,"Reduced Steady State",IF('GW-1 Exp'!$U$13&lt;=$E105,"Non-Steady State","Steady State"))))</f>
        <v>Streamlined</v>
      </c>
      <c r="P105" s="485" t="str">
        <f>IF(VLOOKUP(A105,[1]!TOX,81,FALSE)="Y","Inorganic",IF(K105="*","Streamlined",IF($E105=0,0,IF('GW-1 Exp'!$U$21&lt;=$E105,"Non-Steady State","Steady State"))))</f>
        <v>Streamlined</v>
      </c>
      <c r="Q105" s="563">
        <f>IF(K105=0,0,IF((VLOOKUP(A105,[1]!TOX,67,FALSE))=0,0,IF((VLOOKUP(A105,[1]!TOX,67,FALSE))&lt;0.5,0.2,1)))</f>
        <v>1</v>
      </c>
      <c r="R105" s="614">
        <f>IF(K105=0,IF(M105=0,0,('[1]Target Risk'!$D$8*(VLOOKUP(A105,[1]!TOX,4,FALSE))*(VLOOKUP(A105,[1]!TOX,37,FALSE)))/('GW-1 Exp'!$V$13*'GW-1 Derm'!$M105)),('[1]Target Risk'!$D$8*(VLOOKUP(A105,[1]!TOX,4,FALSE))*(VLOOKUP(A105,[1]!TOX,37,FALSE)))/('GW-1 Exp'!$J$18*'GW-1 Derm'!$Q105))</f>
        <v>89.531291208791231</v>
      </c>
      <c r="S105" s="574">
        <f>IF(OR(VLOOKUP(A105,[1]!TOX,12,FALSE)=0,VLOOKUP(A105,[1]!TOX,38,FALSE)=0),0,IF(K105=0,('[1]Target Risk'!$D$12*(VLOOKUP(A105,[1]!TOX,38,FALSE)))/('GW-1 Exp'!$V$21*'GW-1 Derm'!N105*(VLOOKUP(A105,[1]!TOX,12,FALSE))),IF(Q105=0,0,('[1]Target Risk'!$D$12*(VLOOKUP(A105,[1]!TOX,38,FALSE)))/('GW-1 Exp'!$J$26*'GW-1 Derm'!Q105*(VLOOKUP(A105,[1]!TOX,12,FALSE))))))</f>
        <v>0</v>
      </c>
      <c r="T105" s="575">
        <f>IF(OR(VLOOKUP(A105,[1]!TOX,12,FALSE)=0,VLOOKUP(A105,[1]!TOX,38,FALSE)=0),0,IF(NOT(VLOOKUP(A105,[1]!TOX,36,FALSE)="M"), IF(K105=0,('[1]Target Risk'!$D$12*(VLOOKUP(A105,[1]!TOX,38,FALSE)))/('GW-1 Exp'!$V$21*'GW-1 Derm'!N105*(VLOOKUP(A105,[1]!TOX,12,FALSE))),IF(Q105=0,0,('[1]Target Risk'!$D$12*(VLOOKUP(A105,[1]!TOX,38,FALSE)))/('GW-1 Exp'!$J$26*'GW-1 Derm'!Q105*(VLOOKUP(A105,[1]!TOX,12,FALSE))))), IF(K105=0,('[1]Target Risk'!$D$12*(VLOOKUP(A105,[1]!TOX,38,FALSE)))/(('GW-1 Exp'!$V$26*'GW-1 Derm'!AB105*(VLOOKUP(A105,[1]!TOX,12,FALSE))*10)+('GW-1 Exp'!$V$27*'GW-1 Derm'!AC105*(VLOOKUP(A105,[1]!TOX,12,FALSE))*3)+('GW-1 Exp'!$V$28*'GW-1 Derm'!AD105*(VLOOKUP(A105,[1]!TOX,12,FALSE))*3)+('GW-1 Exp'!$V$29*'GW-1 Derm'!AE105*(VLOOKUP(A105,[1]!TOX,12,FALSE))*1)),IF(Q105=0,0,(('[1]Target Risk'!$D$12*(VLOOKUP(A105,[1]!TOX,38,FALSE)))/(('GW-1 Exp'!$J$33*'GW-1 Derm'!Q105*(VLOOKUP(A105,[1]!TOX,12,FALSE))*10)+('GW-1 Exp'!$J$34*'GW-1 Derm'!Q105*(VLOOKUP(A105,[1]!TOX,12,FALSE))*3)+('GW-1 Exp'!$J$35*'GW-1 Derm'!Q105*(VLOOKUP(A105,[1]!TOX,12,FALSE))*3)+('GW-1 Exp'!$J$36*'GW-1 Derm'!Q105*(VLOOKUP(A105,[1]!TOX,12,FALSE))*1)))))))</f>
        <v>0</v>
      </c>
      <c r="AB105" s="838">
        <f>L105*IF('GW-1 Exp'!U$26&lt;=$E105,2*(VLOOKUP(A105,[1]!TOX,67,FALSE))*1*0.000001*SQRT(6*$C105*'GW-1 Exp'!$U$26/PI()),(VLOOKUP(A105,[1]!TOX,67,FALSE))*1*0.000001*('GW-1 Exp'!$U$26/(1+$B105)+2*$C105*(1+3*$B105+3*$B105^2)/(1+$B105)^2))</f>
        <v>8.8809675057984983E-7</v>
      </c>
      <c r="AC105" s="837">
        <f>L105*IF('GW-1 Exp'!U$27&lt;=$E105,2*(VLOOKUP(A105,[1]!TOX,67,FALSE))*1*0.000001*SQRT(6*$C105*'GW-1 Exp'!$U$27/PI()),(VLOOKUP(A105,[1]!TOX,67,FALSE))*1*0.000001*('GW-1 Exp'!$U$27/(1+$B105)+2*$C105*(1+3*$B105+3*$B105^2)/(1+$B105)^2))</f>
        <v>9.6366451298613269E-7</v>
      </c>
      <c r="AD105" s="837">
        <f>L105*IF('GW-1 Exp'!U$28&lt;=$E105,2*(VLOOKUP(A105,[1]!TOX,67,FALSE))*1*0.000001*SQRT(6*$C105*'GW-1 Exp'!$U$28/PI()),(VLOOKUP(A105,[1]!TOX,67,FALSE))*1*0.000001*('GW-1 Exp'!$U$28/(1+$B105)+2*$C105*(1+3*$B105+3*$B105^2)/(1+$B105)^2))</f>
        <v>1.0150956010088768E-6</v>
      </c>
      <c r="AE105" s="839">
        <f>L105*IF('GW-1 Exp'!U$29&lt;=$E105,2*(VLOOKUP(A105,[1]!TOX,67,FALSE))*1*0.000001*SQRT(6*$C105*'GW-1 Exp'!$U$29/PI()),(VLOOKUP(A105,[1]!TOX,67,FALSE))*1*0.000001*('GW-1 Exp'!$U$29/(1+$B105)+2*$C105*(1+3*$B105+3*$B105^2)/(1+$B105)^2))</f>
        <v>1.1790877677184312E-6</v>
      </c>
    </row>
    <row r="106" spans="1:31" x14ac:dyDescent="0.25">
      <c r="A106" s="540" t="s">
        <v>239</v>
      </c>
      <c r="B106" s="587">
        <f>(VLOOKUP(A106,[1]!TOX,67,FALSE))*(SQRT((VLOOKUP(A106,[1]!TOX,57,FALSE)))/2.6)</f>
        <v>0.71950969995484582</v>
      </c>
      <c r="C106" s="596">
        <f>('GW-1 Exp'!$O$29^2)/(6*D106)</f>
        <v>1.0438756079303715</v>
      </c>
      <c r="D106" s="486">
        <f>10^(-2.8-(0.0056*(VLOOKUP(A106,[1]!TOX,57,FALSE))))*'GW-1 Exp'!$O$29</f>
        <v>1.5966142459934139E-7</v>
      </c>
      <c r="E106" s="597">
        <f t="shared" si="5"/>
        <v>4.0429573592733439</v>
      </c>
      <c r="F106" s="597">
        <f>IF(B106&lt;=0.6,0,(G106-SQRT(G106^2-H106^2))*('GW-1 Exp'!$O$29^2/D106))</f>
        <v>4.0429573592733439</v>
      </c>
      <c r="G106" s="582">
        <f t="shared" si="6"/>
        <v>0.96893893508309437</v>
      </c>
      <c r="H106" s="598">
        <f t="shared" si="7"/>
        <v>0.91336340915002312</v>
      </c>
      <c r="I106" s="606">
        <f>IF('GW-1 Exp'!$U$13&lt;=$E106,2*(VLOOKUP(A106,[1]!TOX,67,FALSE))*1*0.000001*SQRT(6*$C106*'GW-1 Exp'!$U$13/PI()),(VLOOKUP(A106,[1]!TOX,67,FALSE))*1*0.000001*('GW-1 Exp'!$U$13/(1+$B106)+2*$C106*(1+3*$B106+3*$B106^2)/(1+$B106)^2))</f>
        <v>3.048808086500686E-7</v>
      </c>
      <c r="J106" s="607">
        <f>IF('GW-1 Exp'!$U$21&lt;=$E106,2*(VLOOKUP(A106,[1]!TOX,67,FALSE))*1*0.000001*SQRT(6*$C106*'GW-1 Exp'!$U$21/PI()),(VLOOKUP(A106,[1]!TOX,67,FALSE))*1*0.000001*('GW-1 Exp'!$U$21/(1+$B106)+2*$C106*(1+3*$B106+3*$B106^2)/(1+$B106)^2))</f>
        <v>3.4645227344526306E-7</v>
      </c>
      <c r="K106" s="482" t="s">
        <v>91</v>
      </c>
      <c r="L106" s="554">
        <v>1</v>
      </c>
      <c r="M106" s="481">
        <f t="shared" si="8"/>
        <v>3.048808086500686E-7</v>
      </c>
      <c r="N106" s="483">
        <f t="shared" si="9"/>
        <v>3.4645227344526306E-7</v>
      </c>
      <c r="O106" s="486" t="str">
        <f>IF(VLOOKUP(A106,[1]!TOX,81,FALSE)="Y","Inorganic",IF(K106="*","Streamlined",IF($E106=0,"Reduced Steady State",IF('GW-1 Exp'!$U$13&lt;=$E106,"Non-Steady State","Steady State"))))</f>
        <v>Streamlined</v>
      </c>
      <c r="P106" s="485" t="str">
        <f>IF(VLOOKUP(A106,[1]!TOX,81,FALSE)="Y","Inorganic",IF(K106="*","Streamlined",IF($E106=0,0,IF('GW-1 Exp'!$U$21&lt;=$E106,"Non-Steady State","Steady State"))))</f>
        <v>Streamlined</v>
      </c>
      <c r="Q106" s="563">
        <f>IF(K106=0,0,IF((VLOOKUP(A106,[1]!TOX,67,FALSE))=0,0,IF((VLOOKUP(A106,[1]!TOX,67,FALSE))&lt;0.5,0.2,1)))</f>
        <v>0.2</v>
      </c>
      <c r="R106" s="614">
        <f>IF(K106=0,IF(M106=0,0,('[1]Target Risk'!$D$8*(VLOOKUP(A106,[1]!TOX,4,FALSE))*(VLOOKUP(A106,[1]!TOX,37,FALSE)))/('GW-1 Exp'!$V$13*'GW-1 Derm'!$M106)),('[1]Target Risk'!$D$8*(VLOOKUP(A106,[1]!TOX,4,FALSE))*(VLOOKUP(A106,[1]!TOX,37,FALSE)))/('GW-1 Exp'!$J$18*'GW-1 Derm'!$Q106))</f>
        <v>447.6564560439561</v>
      </c>
      <c r="S106" s="574">
        <f>IF(OR(VLOOKUP(A106,[1]!TOX,12,FALSE)=0,VLOOKUP(A106,[1]!TOX,38,FALSE)=0),0,IF(K106=0,('[1]Target Risk'!$D$12*(VLOOKUP(A106,[1]!TOX,38,FALSE)))/('GW-1 Exp'!$V$21*'GW-1 Derm'!N106*(VLOOKUP(A106,[1]!TOX,12,FALSE))),IF(Q106=0,0,('[1]Target Risk'!$D$12*(VLOOKUP(A106,[1]!TOX,38,FALSE)))/('GW-1 Exp'!$J$26*'GW-1 Derm'!Q106*(VLOOKUP(A106,[1]!TOX,12,FALSE))))))</f>
        <v>0</v>
      </c>
      <c r="T106" s="575">
        <f>IF(OR(VLOOKUP(A106,[1]!TOX,12,FALSE)=0,VLOOKUP(A106,[1]!TOX,38,FALSE)=0),0,IF(NOT(VLOOKUP(A106,[1]!TOX,36,FALSE)="M"), IF(K106=0,('[1]Target Risk'!$D$12*(VLOOKUP(A106,[1]!TOX,38,FALSE)))/('GW-1 Exp'!$V$21*'GW-1 Derm'!N106*(VLOOKUP(A106,[1]!TOX,12,FALSE))),IF(Q106=0,0,('[1]Target Risk'!$D$12*(VLOOKUP(A106,[1]!TOX,38,FALSE)))/('GW-1 Exp'!$J$26*'GW-1 Derm'!Q106*(VLOOKUP(A106,[1]!TOX,12,FALSE))))), IF(K106=0,('[1]Target Risk'!$D$12*(VLOOKUP(A106,[1]!TOX,38,FALSE)))/(('GW-1 Exp'!$V$26*'GW-1 Derm'!AB106*(VLOOKUP(A106,[1]!TOX,12,FALSE))*10)+('GW-1 Exp'!$V$27*'GW-1 Derm'!AC106*(VLOOKUP(A106,[1]!TOX,12,FALSE))*3)+('GW-1 Exp'!$V$28*'GW-1 Derm'!AD106*(VLOOKUP(A106,[1]!TOX,12,FALSE))*3)+('GW-1 Exp'!$V$29*'GW-1 Derm'!AE106*(VLOOKUP(A106,[1]!TOX,12,FALSE))*1)),IF(Q106=0,0,(('[1]Target Risk'!$D$12*(VLOOKUP(A106,[1]!TOX,38,FALSE)))/(('GW-1 Exp'!$J$33*'GW-1 Derm'!Q106*(VLOOKUP(A106,[1]!TOX,12,FALSE))*10)+('GW-1 Exp'!$J$34*'GW-1 Derm'!Q106*(VLOOKUP(A106,[1]!TOX,12,FALSE))*3)+('GW-1 Exp'!$J$35*'GW-1 Derm'!Q106*(VLOOKUP(A106,[1]!TOX,12,FALSE))*3)+('GW-1 Exp'!$J$36*'GW-1 Derm'!Q106*(VLOOKUP(A106,[1]!TOX,12,FALSE))*1)))))))</f>
        <v>0</v>
      </c>
      <c r="AB106" s="838">
        <f>L106*IF('GW-1 Exp'!U$26&lt;=$E106,2*(VLOOKUP(A106,[1]!TOX,67,FALSE))*1*0.000001*SQRT(6*$C106*'GW-1 Exp'!$U$26/PI()),(VLOOKUP(A106,[1]!TOX,67,FALSE))*1*0.000001*('GW-1 Exp'!$U$26/(1+$B106)+2*$C106*(1+3*$B106+3*$B106^2)/(1+$B106)^2))</f>
        <v>2.8461663586832014E-7</v>
      </c>
      <c r="AC106" s="837">
        <f>L106*IF('GW-1 Exp'!U$27&lt;=$E106,2*(VLOOKUP(A106,[1]!TOX,67,FALSE))*1*0.000001*SQRT(6*$C106*'GW-1 Exp'!$U$27/PI()),(VLOOKUP(A106,[1]!TOX,67,FALSE))*1*0.000001*('GW-1 Exp'!$U$27/(1+$B106)+2*$C106*(1+3*$B106+3*$B106^2)/(1+$B106)^2))</f>
        <v>3.0883454039519741E-7</v>
      </c>
      <c r="AD106" s="837">
        <f>L106*IF('GW-1 Exp'!U$28&lt;=$E106,2*(VLOOKUP(A106,[1]!TOX,67,FALSE))*1*0.000001*SQRT(6*$C106*'GW-1 Exp'!$U$28/PI()),(VLOOKUP(A106,[1]!TOX,67,FALSE))*1*0.000001*('GW-1 Exp'!$U$28/(1+$B106)+2*$C106*(1+3*$B106+3*$B106^2)/(1+$B106)^2))</f>
        <v>3.2531714011479277E-7</v>
      </c>
      <c r="AE106" s="839">
        <f>L106*IF('GW-1 Exp'!U$29&lt;=$E106,2*(VLOOKUP(A106,[1]!TOX,67,FALSE))*1*0.000001*SQRT(6*$C106*'GW-1 Exp'!$U$29/PI()),(VLOOKUP(A106,[1]!TOX,67,FALSE))*1*0.000001*('GW-1 Exp'!$U$29/(1+$B106)+2*$C106*(1+3*$B106+3*$B106^2)/(1+$B106)^2))</f>
        <v>3.7787323692198797E-7</v>
      </c>
    </row>
    <row r="107" spans="1:31" x14ac:dyDescent="0.25">
      <c r="A107" s="540" t="s">
        <v>240</v>
      </c>
      <c r="B107" s="587">
        <f>(VLOOKUP(A107,[1]!TOX,67,FALSE))*(SQRT((VLOOKUP(A107,[1]!TOX,57,FALSE)))/2.6)</f>
        <v>1.6172999712536728E-2</v>
      </c>
      <c r="C107" s="596">
        <f>('GW-1 Exp'!$O$29^2)/(6*D107)</f>
        <v>0.35338551945664137</v>
      </c>
      <c r="D107" s="486">
        <f>10^(-2.8-(0.0056*(VLOOKUP(A107,[1]!TOX,57,FALSE))))*'GW-1 Exp'!$O$29</f>
        <v>4.7162845529983812E-7</v>
      </c>
      <c r="E107" s="597">
        <f t="shared" si="5"/>
        <v>0.84812524669593925</v>
      </c>
      <c r="F107" s="597">
        <f>IF(B107&lt;=0.6,0,(G107-SQRT(G107^2-H107^2))*('GW-1 Exp'!$O$29^2/D107))</f>
        <v>0</v>
      </c>
      <c r="G107" s="582">
        <f t="shared" si="6"/>
        <v>0.31317725907247723</v>
      </c>
      <c r="H107" s="598">
        <f t="shared" si="7"/>
        <v>0.34420113412235603</v>
      </c>
      <c r="I107" s="606">
        <f>IF('GW-1 Exp'!$U$13&lt;=$E107,2*(VLOOKUP(A107,[1]!TOX,67,FALSE))*1*0.000001*SQRT(6*$C107*'GW-1 Exp'!$U$13/PI()),(VLOOKUP(A107,[1]!TOX,67,FALSE))*1*0.000001*('GW-1 Exp'!$U$13/(1+$B107)+2*$C107*(1+3*$B107+3*$B107^2)/(1+$B107)^2))</f>
        <v>5.4869384394124174E-9</v>
      </c>
      <c r="J107" s="607">
        <f>IF('GW-1 Exp'!$U$21&lt;=$E107,2*(VLOOKUP(A107,[1]!TOX,67,FALSE))*1*0.000001*SQRT(6*$C107*'GW-1 Exp'!$U$21/PI()),(VLOOKUP(A107,[1]!TOX,67,FALSE))*1*0.000001*('GW-1 Exp'!$U$21/(1+$B107)+2*$C107*(1+3*$B107+3*$B107^2)/(1+$B107)^2))</f>
        <v>6.2350998903656575E-9</v>
      </c>
      <c r="K107" s="482"/>
      <c r="L107" s="554">
        <v>1</v>
      </c>
      <c r="M107" s="481">
        <f t="shared" si="8"/>
        <v>5.4869384394124174E-9</v>
      </c>
      <c r="N107" s="483">
        <f t="shared" si="9"/>
        <v>6.2350998903656575E-9</v>
      </c>
      <c r="O107" s="486" t="str">
        <f>IF(VLOOKUP(A107,[1]!TOX,81,FALSE)="Y","Inorganic",IF(K107="*","Streamlined",IF($E107=0,"Reduced Steady State",IF('GW-1 Exp'!$U$13&lt;=$E107,"Non-Steady State","Steady State"))))</f>
        <v>Non-Steady State</v>
      </c>
      <c r="P107" s="485" t="str">
        <f>IF(VLOOKUP(A107,[1]!TOX,81,FALSE)="Y","Inorganic",IF(K107="*","Streamlined",IF($E107=0,0,IF('GW-1 Exp'!$U$21&lt;=$E107,"Non-Steady State","Steady State"))))</f>
        <v>Non-Steady State</v>
      </c>
      <c r="Q107" s="563">
        <f>IF(K107=0,0,IF((VLOOKUP(A107,[1]!TOX,67,FALSE))=0,0,IF((VLOOKUP(A107,[1]!TOX,67,FALSE))&lt;0.5,0.2,1)))</f>
        <v>0</v>
      </c>
      <c r="R107" s="614">
        <f>IF(K107=0,IF(M107=0,0,('[1]Target Risk'!$D$8*(VLOOKUP(A107,[1]!TOX,4,FALSE))*(VLOOKUP(A107,[1]!TOX,37,FALSE)))/('GW-1 Exp'!$V$13*'GW-1 Derm'!$M107)),('[1]Target Risk'!$D$8*(VLOOKUP(A107,[1]!TOX,4,FALSE))*(VLOOKUP(A107,[1]!TOX,37,FALSE)))/('GW-1 Exp'!$J$18*'GW-1 Derm'!$Q107))</f>
        <v>26924.613501743468</v>
      </c>
      <c r="S107" s="574">
        <f>IF(OR(VLOOKUP(A107,[1]!TOX,12,FALSE)=0,VLOOKUP(A107,[1]!TOX,38,FALSE)=0),0,IF(K107=0,('[1]Target Risk'!$D$12*(VLOOKUP(A107,[1]!TOX,38,FALSE)))/('GW-1 Exp'!$V$21*'GW-1 Derm'!N107*(VLOOKUP(A107,[1]!TOX,12,FALSE))),IF(Q107=0,0,('[1]Target Risk'!$D$12*(VLOOKUP(A107,[1]!TOX,38,FALSE)))/('GW-1 Exp'!$J$26*'GW-1 Derm'!Q107*(VLOOKUP(A107,[1]!TOX,12,FALSE))))))</f>
        <v>0</v>
      </c>
      <c r="T107" s="575">
        <f>IF(OR(VLOOKUP(A107,[1]!TOX,12,FALSE)=0,VLOOKUP(A107,[1]!TOX,38,FALSE)=0),0,IF(NOT(VLOOKUP(A107,[1]!TOX,36,FALSE)="M"), IF(K107=0,('[1]Target Risk'!$D$12*(VLOOKUP(A107,[1]!TOX,38,FALSE)))/('GW-1 Exp'!$V$21*'GW-1 Derm'!N107*(VLOOKUP(A107,[1]!TOX,12,FALSE))),IF(Q107=0,0,('[1]Target Risk'!$D$12*(VLOOKUP(A107,[1]!TOX,38,FALSE)))/('GW-1 Exp'!$J$26*'GW-1 Derm'!Q107*(VLOOKUP(A107,[1]!TOX,12,FALSE))))), IF(K107=0,('[1]Target Risk'!$D$12*(VLOOKUP(A107,[1]!TOX,38,FALSE)))/(('GW-1 Exp'!$V$26*'GW-1 Derm'!AB107*(VLOOKUP(A107,[1]!TOX,12,FALSE))*10)+('GW-1 Exp'!$V$27*'GW-1 Derm'!AC107*(VLOOKUP(A107,[1]!TOX,12,FALSE))*3)+('GW-1 Exp'!$V$28*'GW-1 Derm'!AD107*(VLOOKUP(A107,[1]!TOX,12,FALSE))*3)+('GW-1 Exp'!$V$29*'GW-1 Derm'!AE107*(VLOOKUP(A107,[1]!TOX,12,FALSE))*1)),IF(Q107=0,0,(('[1]Target Risk'!$D$12*(VLOOKUP(A107,[1]!TOX,38,FALSE)))/(('GW-1 Exp'!$J$33*'GW-1 Derm'!Q107*(VLOOKUP(A107,[1]!TOX,12,FALSE))*10)+('GW-1 Exp'!$J$34*'GW-1 Derm'!Q107*(VLOOKUP(A107,[1]!TOX,12,FALSE))*3)+('GW-1 Exp'!$J$35*'GW-1 Derm'!Q107*(VLOOKUP(A107,[1]!TOX,12,FALSE))*3)+('GW-1 Exp'!$J$36*'GW-1 Derm'!Q107*(VLOOKUP(A107,[1]!TOX,12,FALSE))*1)))))))</f>
        <v>0</v>
      </c>
      <c r="AB107" s="838">
        <f>L107*IF('GW-1 Exp'!U$26&lt;=$E107,2*(VLOOKUP(A107,[1]!TOX,67,FALSE))*1*0.000001*SQRT(6*$C107*'GW-1 Exp'!$U$26/PI()),(VLOOKUP(A107,[1]!TOX,67,FALSE))*1*0.000001*('GW-1 Exp'!$U$26/(1+$B107)+2*$C107*(1+3*$B107+3*$B107^2)/(1+$B107)^2))</f>
        <v>5.1222442198208907E-9</v>
      </c>
      <c r="AC107" s="837">
        <f>L107*IF('GW-1 Exp'!U$27&lt;=$E107,2*(VLOOKUP(A107,[1]!TOX,67,FALSE))*1*0.000001*SQRT(6*$C107*'GW-1 Exp'!$U$27/PI()),(VLOOKUP(A107,[1]!TOX,67,FALSE))*1*0.000001*('GW-1 Exp'!$U$27/(1+$B107)+2*$C107*(1+3*$B107+3*$B107^2)/(1+$B107)^2))</f>
        <v>5.5580937305162662E-9</v>
      </c>
      <c r="AD107" s="837">
        <f>L107*IF('GW-1 Exp'!U$28&lt;=$E107,2*(VLOOKUP(A107,[1]!TOX,67,FALSE))*1*0.000001*SQRT(6*$C107*'GW-1 Exp'!$U$28/PI()),(VLOOKUP(A107,[1]!TOX,67,FALSE))*1*0.000001*('GW-1 Exp'!$U$28/(1+$B107)+2*$C107*(1+3*$B107+3*$B107^2)/(1+$B107)^2))</f>
        <v>5.8547309979892038E-9</v>
      </c>
      <c r="AE107" s="839">
        <f>L107*IF('GW-1 Exp'!U$29&lt;=$E107,2*(VLOOKUP(A107,[1]!TOX,67,FALSE))*1*0.000001*SQRT(6*$C107*'GW-1 Exp'!$U$29/PI()),(VLOOKUP(A107,[1]!TOX,67,FALSE))*1*0.000001*('GW-1 Exp'!$U$29/(1+$B107)+2*$C107*(1+3*$B107+3*$B107^2)/(1+$B107)^2))</f>
        <v>7.0019034679885151E-9</v>
      </c>
    </row>
    <row r="108" spans="1:31" ht="23" x14ac:dyDescent="0.25">
      <c r="A108" s="540" t="s">
        <v>241</v>
      </c>
      <c r="B108" s="587">
        <f>(VLOOKUP(A108,[1]!TOX,67,FALSE))*(SQRT((VLOOKUP(A108,[1]!TOX,57,FALSE)))/2.6)</f>
        <v>7.8012388323144384</v>
      </c>
      <c r="C108" s="596">
        <f>('GW-1 Exp'!$O$29^2)/(6*D108)</f>
        <v>7.2218547535306463</v>
      </c>
      <c r="D108" s="486">
        <f>10^(-2.8-(0.0056*(VLOOKUP(A108,[1]!TOX,57,FALSE))))*'GW-1 Exp'!$O$29</f>
        <v>2.3078097296984E-8</v>
      </c>
      <c r="E108" s="597">
        <f t="shared" si="5"/>
        <v>32.39315942095601</v>
      </c>
      <c r="F108" s="597">
        <f>IF(B108&lt;=0.6,0,(G108-SQRT(G108^2-H108^2))*('GW-1 Exp'!$O$29^2/D108))</f>
        <v>32.39315942095601</v>
      </c>
      <c r="G108" s="582">
        <f t="shared" si="6"/>
        <v>41.474604367234889</v>
      </c>
      <c r="H108" s="598">
        <f t="shared" si="7"/>
        <v>7.8391122885044302</v>
      </c>
      <c r="I108" s="606">
        <f>IF('GW-1 Exp'!$U$13&lt;=$E108,2*(VLOOKUP(A108,[1]!TOX,67,FALSE))*1*0.000001*SQRT(6*$C108*'GW-1 Exp'!$U$13/PI()),(VLOOKUP(A108,[1]!TOX,67,FALSE))*1*0.000001*('GW-1 Exp'!$U$13/(1+$B108)+2*$C108*(1+3*$B108+3*$B108^2)/(1+$B108)^2))</f>
        <v>6.4051615461407321E-6</v>
      </c>
      <c r="J108" s="607">
        <f>IF('GW-1 Exp'!$U$21&lt;=$E108,2*(VLOOKUP(A108,[1]!TOX,67,FALSE))*1*0.000001*SQRT(6*$C108*'GW-1 Exp'!$U$21/PI()),(VLOOKUP(A108,[1]!TOX,67,FALSE))*1*0.000001*('GW-1 Exp'!$U$21/(1+$B108)+2*$C108*(1+3*$B108+3*$B108^2)/(1+$B108)^2))</f>
        <v>7.2785256286551546E-6</v>
      </c>
      <c r="K108" s="482" t="s">
        <v>91</v>
      </c>
      <c r="L108" s="554">
        <v>0.5</v>
      </c>
      <c r="M108" s="481">
        <f t="shared" si="8"/>
        <v>3.2025807730703661E-6</v>
      </c>
      <c r="N108" s="483">
        <f t="shared" si="9"/>
        <v>3.6392628143275773E-6</v>
      </c>
      <c r="O108" s="486" t="str">
        <f>IF(VLOOKUP(A108,[1]!TOX,81,FALSE)="Y","Inorganic",IF(K108="*","Streamlined",IF($E108=0,"Reduced Steady State",IF('GW-1 Exp'!$U$13&lt;=$E108,"Non-Steady State","Steady State"))))</f>
        <v>Streamlined</v>
      </c>
      <c r="P108" s="485" t="str">
        <f>IF(VLOOKUP(A108,[1]!TOX,81,FALSE)="Y","Inorganic",IF(K108="*","Streamlined",IF($E108=0,0,IF('GW-1 Exp'!$U$21&lt;=$E108,"Non-Steady State","Steady State"))))</f>
        <v>Streamlined</v>
      </c>
      <c r="Q108" s="563">
        <f>IF(K108=0,0,IF((VLOOKUP(A108,[1]!TOX,67,FALSE))=0,0,IF((VLOOKUP(A108,[1]!TOX,67,FALSE))&lt;0.5,0.2,1)))</f>
        <v>1</v>
      </c>
      <c r="R108" s="614">
        <f>IF(K108=0,IF(M108=0,0,('[1]Target Risk'!$D$8*(VLOOKUP(A108,[1]!TOX,4,FALSE))*(VLOOKUP(A108,[1]!TOX,37,FALSE)))/('GW-1 Exp'!$V$13*'GW-1 Derm'!$M108)),('[1]Target Risk'!$D$8*(VLOOKUP(A108,[1]!TOX,4,FALSE))*(VLOOKUP(A108,[1]!TOX,37,FALSE)))/('GW-1 Exp'!$J$18*'GW-1 Derm'!$Q108))</f>
        <v>5.7741195054945071E-2</v>
      </c>
      <c r="S108" s="574">
        <f>IF(OR(VLOOKUP(A108,[1]!TOX,12,FALSE)=0,VLOOKUP(A108,[1]!TOX,38,FALSE)=0),0,IF(K108=0,('[1]Target Risk'!$D$12*(VLOOKUP(A108,[1]!TOX,38,FALSE)))/('GW-1 Exp'!$V$21*'GW-1 Derm'!N108*(VLOOKUP(A108,[1]!TOX,12,FALSE))),IF(Q108=0,0,('[1]Target Risk'!$D$12*(VLOOKUP(A108,[1]!TOX,38,FALSE)))/('GW-1 Exp'!$J$26*'GW-1 Derm'!Q108*(VLOOKUP(A108,[1]!TOX,12,FALSE))))))</f>
        <v>2.4591688098243622E-2</v>
      </c>
      <c r="T108" s="575">
        <f>IF(OR(VLOOKUP(A108,[1]!TOX,12,FALSE)=0,VLOOKUP(A108,[1]!TOX,38,FALSE)=0),0,IF(NOT(VLOOKUP(A108,[1]!TOX,36,FALSE)="M"), IF(K108=0,('[1]Target Risk'!$D$12*(VLOOKUP(A108,[1]!TOX,38,FALSE)))/('GW-1 Exp'!$V$21*'GW-1 Derm'!N108*(VLOOKUP(A108,[1]!TOX,12,FALSE))),IF(Q108=0,0,('[1]Target Risk'!$D$12*(VLOOKUP(A108,[1]!TOX,38,FALSE)))/('GW-1 Exp'!$J$26*'GW-1 Derm'!Q108*(VLOOKUP(A108,[1]!TOX,12,FALSE))))), IF(K108=0,('[1]Target Risk'!$D$12*(VLOOKUP(A108,[1]!TOX,38,FALSE)))/(('GW-1 Exp'!$V$26*'GW-1 Derm'!AB108*(VLOOKUP(A108,[1]!TOX,12,FALSE))*10)+('GW-1 Exp'!$V$27*'GW-1 Derm'!AC108*(VLOOKUP(A108,[1]!TOX,12,FALSE))*3)+('GW-1 Exp'!$V$28*'GW-1 Derm'!AD108*(VLOOKUP(A108,[1]!TOX,12,FALSE))*3)+('GW-1 Exp'!$V$29*'GW-1 Derm'!AE108*(VLOOKUP(A108,[1]!TOX,12,FALSE))*1)),IF(Q108=0,0,(('[1]Target Risk'!$D$12*(VLOOKUP(A108,[1]!TOX,38,FALSE)))/(('GW-1 Exp'!$J$33*'GW-1 Derm'!Q108*(VLOOKUP(A108,[1]!TOX,12,FALSE))*10)+('GW-1 Exp'!$J$34*'GW-1 Derm'!Q108*(VLOOKUP(A108,[1]!TOX,12,FALSE))*3)+('GW-1 Exp'!$J$35*'GW-1 Derm'!Q108*(VLOOKUP(A108,[1]!TOX,12,FALSE))*3)+('GW-1 Exp'!$J$36*'GW-1 Derm'!Q108*(VLOOKUP(A108,[1]!TOX,12,FALSE))*1)))))))</f>
        <v>2.4591688098243622E-2</v>
      </c>
      <c r="AB108" s="838">
        <f>L108*IF('GW-1 Exp'!U$26&lt;=$E108,2*(VLOOKUP(A108,[1]!TOX,67,FALSE))*1*0.000001*SQRT(6*$C108*'GW-1 Exp'!$U$26/PI()),(VLOOKUP(A108,[1]!TOX,67,FALSE))*1*0.000001*('GW-1 Exp'!$U$26/(1+$B108)+2*$C108*(1+3*$B108+3*$B108^2)/(1+$B108)^2))</f>
        <v>2.9897184075434804E-6</v>
      </c>
      <c r="AC108" s="837">
        <f>L108*IF('GW-1 Exp'!U$27&lt;=$E108,2*(VLOOKUP(A108,[1]!TOX,67,FALSE))*1*0.000001*SQRT(6*$C108*'GW-1 Exp'!$U$27/PI()),(VLOOKUP(A108,[1]!TOX,67,FALSE))*1*0.000001*('GW-1 Exp'!$U$27/(1+$B108)+2*$C108*(1+3*$B108+3*$B108^2)/(1+$B108)^2))</f>
        <v>3.2441122335938808E-6</v>
      </c>
      <c r="AD108" s="837">
        <f>L108*IF('GW-1 Exp'!U$28&lt;=$E108,2*(VLOOKUP(A108,[1]!TOX,67,FALSE))*1*0.000001*SQRT(6*$C108*'GW-1 Exp'!$U$28/PI()),(VLOOKUP(A108,[1]!TOX,67,FALSE))*1*0.000001*('GW-1 Exp'!$U$28/(1+$B108)+2*$C108*(1+3*$B108+3*$B108^2)/(1+$B108)^2))</f>
        <v>3.4172515570754632E-6</v>
      </c>
      <c r="AE108" s="839">
        <f>L108*IF('GW-1 Exp'!U$29&lt;=$E108,2*(VLOOKUP(A108,[1]!TOX,67,FALSE))*1*0.000001*SQRT(6*$C108*'GW-1 Exp'!$U$29/PI()),(VLOOKUP(A108,[1]!TOX,67,FALSE))*1*0.000001*('GW-1 Exp'!$U$29/(1+$B108)+2*$C108*(1+3*$B108+3*$B108^2)/(1+$B108)^2))</f>
        <v>3.9693202356111945E-6</v>
      </c>
    </row>
    <row r="109" spans="1:31" x14ac:dyDescent="0.25">
      <c r="A109" s="540" t="s">
        <v>242</v>
      </c>
      <c r="B109" s="587">
        <f>(VLOOKUP(A109,[1]!TOX,67,FALSE))*(SQRT((VLOOKUP(A109,[1]!TOX,57,FALSE)))/2.6)</f>
        <v>1.0648840857964676</v>
      </c>
      <c r="C109" s="596">
        <f>('GW-1 Exp'!$O$29^2)/(6*D109)</f>
        <v>1.4224884526892487</v>
      </c>
      <c r="D109" s="486">
        <f>10^(-2.8-(0.0056*(VLOOKUP(A109,[1]!TOX,57,FALSE))))*'GW-1 Exp'!$O$29</f>
        <v>1.1716556739113019E-7</v>
      </c>
      <c r="E109" s="597">
        <f t="shared" si="5"/>
        <v>5.5063357257700378</v>
      </c>
      <c r="F109" s="597">
        <f>IF(B109&lt;=0.6,0,(G109-SQRT(G109^2-H109^2))*('GW-1 Exp'!$O$29^2/D109))</f>
        <v>5.5063357257700378</v>
      </c>
      <c r="G109" s="582">
        <f t="shared" si="6"/>
        <v>1.4880715434656631</v>
      </c>
      <c r="H109" s="598">
        <f t="shared" si="7"/>
        <v>1.2263136476911052</v>
      </c>
      <c r="I109" s="606">
        <f>IF('GW-1 Exp'!$U$13&lt;=$E109,2*(VLOOKUP(A109,[1]!TOX,67,FALSE))*1*0.000001*SQRT(6*$C109*'GW-1 Exp'!$U$13/PI()),(VLOOKUP(A109,[1]!TOX,67,FALSE))*1*0.000001*('GW-1 Exp'!$U$13/(1+$B109)+2*$C109*(1+3*$B109+3*$B109^2)/(1+$B109)^2))</f>
        <v>4.9445877395963745E-7</v>
      </c>
      <c r="J109" s="607">
        <f>IF('GW-1 Exp'!$U$21&lt;=$E109,2*(VLOOKUP(A109,[1]!TOX,67,FALSE))*1*0.000001*SQRT(6*$C109*'GW-1 Exp'!$U$21/PI()),(VLOOKUP(A109,[1]!TOX,67,FALSE))*1*0.000001*('GW-1 Exp'!$U$21/(1+$B109)+2*$C109*(1+3*$B109+3*$B109^2)/(1+$B109)^2))</f>
        <v>5.6187979532648498E-7</v>
      </c>
      <c r="K109" s="482" t="s">
        <v>91</v>
      </c>
      <c r="L109" s="554">
        <v>1</v>
      </c>
      <c r="M109" s="481">
        <f t="shared" si="8"/>
        <v>4.9445877395963745E-7</v>
      </c>
      <c r="N109" s="483">
        <f t="shared" si="9"/>
        <v>5.6187979532648498E-7</v>
      </c>
      <c r="O109" s="486" t="str">
        <f>IF(VLOOKUP(A109,[1]!TOX,81,FALSE)="Y","Inorganic",IF(K109="*","Streamlined",IF($E109=0,"Reduced Steady State",IF('GW-1 Exp'!$U$13&lt;=$E109,"Non-Steady State","Steady State"))))</f>
        <v>Streamlined</v>
      </c>
      <c r="P109" s="485" t="str">
        <f>IF(VLOOKUP(A109,[1]!TOX,81,FALSE)="Y","Inorganic",IF(K109="*","Streamlined",IF($E109=0,0,IF('GW-1 Exp'!$U$21&lt;=$E109,"Non-Steady State","Steady State"))))</f>
        <v>Streamlined</v>
      </c>
      <c r="Q109" s="563">
        <f>IF(K109=0,0,IF((VLOOKUP(A109,[1]!TOX,67,FALSE))=0,0,IF((VLOOKUP(A109,[1]!TOX,67,FALSE))&lt;0.5,0.2,1)))</f>
        <v>0.2</v>
      </c>
      <c r="R109" s="614">
        <f>IF(K109=0,IF(M109=0,0,('[1]Target Risk'!$D$8*(VLOOKUP(A109,[1]!TOX,4,FALSE))*(VLOOKUP(A109,[1]!TOX,37,FALSE)))/('GW-1 Exp'!$V$13*'GW-1 Derm'!$M109)),('[1]Target Risk'!$D$8*(VLOOKUP(A109,[1]!TOX,4,FALSE))*(VLOOKUP(A109,[1]!TOX,37,FALSE)))/('GW-1 Exp'!$J$18*'GW-1 Derm'!$Q109))</f>
        <v>447.6564560439561</v>
      </c>
      <c r="S109" s="574">
        <f>IF(OR(VLOOKUP(A109,[1]!TOX,12,FALSE)=0,VLOOKUP(A109,[1]!TOX,38,FALSE)=0),0,IF(K109=0,('[1]Target Risk'!$D$12*(VLOOKUP(A109,[1]!TOX,38,FALSE)))/('GW-1 Exp'!$V$21*'GW-1 Derm'!N109*(VLOOKUP(A109,[1]!TOX,12,FALSE))),IF(Q109=0,0,('[1]Target Risk'!$D$12*(VLOOKUP(A109,[1]!TOX,38,FALSE)))/('GW-1 Exp'!$J$26*'GW-1 Derm'!Q109*(VLOOKUP(A109,[1]!TOX,12,FALSE))))))</f>
        <v>0</v>
      </c>
      <c r="T109" s="575">
        <f>IF(OR(VLOOKUP(A109,[1]!TOX,12,FALSE)=0,VLOOKUP(A109,[1]!TOX,38,FALSE)=0),0,IF(NOT(VLOOKUP(A109,[1]!TOX,36,FALSE)="M"), IF(K109=0,('[1]Target Risk'!$D$12*(VLOOKUP(A109,[1]!TOX,38,FALSE)))/('GW-1 Exp'!$V$21*'GW-1 Derm'!N109*(VLOOKUP(A109,[1]!TOX,12,FALSE))),IF(Q109=0,0,('[1]Target Risk'!$D$12*(VLOOKUP(A109,[1]!TOX,38,FALSE)))/('GW-1 Exp'!$J$26*'GW-1 Derm'!Q109*(VLOOKUP(A109,[1]!TOX,12,FALSE))))), IF(K109=0,('[1]Target Risk'!$D$12*(VLOOKUP(A109,[1]!TOX,38,FALSE)))/(('GW-1 Exp'!$V$26*'GW-1 Derm'!AB109*(VLOOKUP(A109,[1]!TOX,12,FALSE))*10)+('GW-1 Exp'!$V$27*'GW-1 Derm'!AC109*(VLOOKUP(A109,[1]!TOX,12,FALSE))*3)+('GW-1 Exp'!$V$28*'GW-1 Derm'!AD109*(VLOOKUP(A109,[1]!TOX,12,FALSE))*3)+('GW-1 Exp'!$V$29*'GW-1 Derm'!AE109*(VLOOKUP(A109,[1]!TOX,12,FALSE))*1)),IF(Q109=0,0,(('[1]Target Risk'!$D$12*(VLOOKUP(A109,[1]!TOX,38,FALSE)))/(('GW-1 Exp'!$J$33*'GW-1 Derm'!Q109*(VLOOKUP(A109,[1]!TOX,12,FALSE))*10)+('GW-1 Exp'!$J$34*'GW-1 Derm'!Q109*(VLOOKUP(A109,[1]!TOX,12,FALSE))*3)+('GW-1 Exp'!$J$35*'GW-1 Derm'!Q109*(VLOOKUP(A109,[1]!TOX,12,FALSE))*3)+('GW-1 Exp'!$J$36*'GW-1 Derm'!Q109*(VLOOKUP(A109,[1]!TOX,12,FALSE))*1)))))))</f>
        <v>0</v>
      </c>
      <c r="AB109" s="838">
        <f>L109*IF('GW-1 Exp'!U$26&lt;=$E109,2*(VLOOKUP(A109,[1]!TOX,67,FALSE))*1*0.000001*SQRT(6*$C109*'GW-1 Exp'!$U$26/PI()),(VLOOKUP(A109,[1]!TOX,67,FALSE))*1*0.000001*('GW-1 Exp'!$U$26/(1+$B109)+2*$C109*(1+3*$B109+3*$B109^2)/(1+$B109)^2))</f>
        <v>4.6159413392757181E-7</v>
      </c>
      <c r="AC109" s="837">
        <f>L109*IF('GW-1 Exp'!U$27&lt;=$E109,2*(VLOOKUP(A109,[1]!TOX,67,FALSE))*1*0.000001*SQRT(6*$C109*'GW-1 Exp'!$U$27/PI()),(VLOOKUP(A109,[1]!TOX,67,FALSE))*1*0.000001*('GW-1 Exp'!$U$27/(1+$B109)+2*$C109*(1+3*$B109+3*$B109^2)/(1+$B109)^2))</f>
        <v>5.0087097602613584E-7</v>
      </c>
      <c r="AD109" s="837">
        <f>L109*IF('GW-1 Exp'!U$28&lt;=$E109,2*(VLOOKUP(A109,[1]!TOX,67,FALSE))*1*0.000001*SQRT(6*$C109*'GW-1 Exp'!$U$28/PI()),(VLOOKUP(A109,[1]!TOX,67,FALSE))*1*0.000001*('GW-1 Exp'!$U$28/(1+$B109)+2*$C109*(1+3*$B109+3*$B109^2)/(1+$B109)^2))</f>
        <v>5.2760262268210104E-7</v>
      </c>
      <c r="AE109" s="839">
        <f>L109*IF('GW-1 Exp'!U$29&lt;=$E109,2*(VLOOKUP(A109,[1]!TOX,67,FALSE))*1*0.000001*SQRT(6*$C109*'GW-1 Exp'!$U$29/PI()),(VLOOKUP(A109,[1]!TOX,67,FALSE))*1*0.000001*('GW-1 Exp'!$U$29/(1+$B109)+2*$C109*(1+3*$B109+3*$B109^2)/(1+$B109)^2))</f>
        <v>6.1283863116178365E-7</v>
      </c>
    </row>
    <row r="110" spans="1:31" x14ac:dyDescent="0.25">
      <c r="A110" s="540" t="s">
        <v>433</v>
      </c>
      <c r="B110" s="587">
        <f>(VLOOKUP(A110,[1]!TOX,67,FALSE))*(SQRT((VLOOKUP(A110,[1]!TOX,57,FALSE)))/2.6)</f>
        <v>1.9408917188129477E-3</v>
      </c>
      <c r="C110" s="596">
        <f>('GW-1 Exp'!$O$29^2)/(6*D110)</f>
        <v>1.8471609960829376</v>
      </c>
      <c r="D110" s="486">
        <f>10^(-2.8-(0.0056*(VLOOKUP(A110,[1]!TOX,57,FALSE))))*'GW-1 Exp'!$O$29</f>
        <v>9.0228554533198535E-8</v>
      </c>
      <c r="E110" s="597">
        <f t="shared" si="5"/>
        <v>4.4331863905990501</v>
      </c>
      <c r="F110" s="597">
        <f>IF(B110&lt;=0.6,0,(G110-SQRT(G110^2-H110^2))*('GW-1 Exp'!$O$29^2/D110))</f>
        <v>0</v>
      </c>
      <c r="G110" s="582">
        <f t="shared" si="6"/>
        <v>0.30446487624099317</v>
      </c>
      <c r="H110" s="598">
        <f t="shared" si="7"/>
        <v>0.33462851440033214</v>
      </c>
      <c r="I110" s="606">
        <f>IF('GW-1 Exp'!$U$13&lt;=$E110,2*(VLOOKUP(A110,[1]!TOX,67,FALSE))*1*0.000001*SQRT(6*$C110*'GW-1 Exp'!$U$13/PI()),(VLOOKUP(A110,[1]!TOX,67,FALSE))*1*0.000001*('GW-1 Exp'!$U$13/(1+$B110)+2*$C110*(1+3*$B110+3*$B110^2)/(1+$B110)^2))</f>
        <v>9.7904372372755314E-10</v>
      </c>
      <c r="J110" s="607">
        <f>IF('GW-1 Exp'!$U$21&lt;=$E110,2*(VLOOKUP(A110,[1]!TOX,67,FALSE))*1*0.000001*SQRT(6*$C110*'GW-1 Exp'!$U$21/PI()),(VLOOKUP(A110,[1]!TOX,67,FALSE))*1*0.000001*('GW-1 Exp'!$U$21/(1+$B110)+2*$C110*(1+3*$B110+3*$B110^2)/(1+$B110)^2))</f>
        <v>1.112539439230625E-9</v>
      </c>
      <c r="K110" s="482"/>
      <c r="L110" s="554">
        <v>1</v>
      </c>
      <c r="M110" s="481">
        <f t="shared" si="8"/>
        <v>9.7904372372755314E-10</v>
      </c>
      <c r="N110" s="483">
        <f t="shared" si="9"/>
        <v>1.112539439230625E-9</v>
      </c>
      <c r="O110" s="486" t="str">
        <f>IF(VLOOKUP(A110,[1]!TOX,81,FALSE)="Y","Inorganic",IF(K110="*","Streamlined",IF($E110=0,"Reduced Steady State",IF('GW-1 Exp'!$U$13&lt;=$E110,"Non-Steady State","Steady State"))))</f>
        <v>Non-Steady State</v>
      </c>
      <c r="P110" s="485" t="str">
        <f>IF(VLOOKUP(A110,[1]!TOX,81,FALSE)="Y","Inorganic",IF(K110="*","Streamlined",IF($E110=0,0,IF('GW-1 Exp'!$U$21&lt;=$E110,"Non-Steady State","Steady State"))))</f>
        <v>Non-Steady State</v>
      </c>
      <c r="Q110" s="563">
        <f>IF(K110=0,0,IF((VLOOKUP(A110,[1]!TOX,67,FALSE))=0,0,IF((VLOOKUP(A110,[1]!TOX,67,FALSE))&lt;0.5,0.2,1)))</f>
        <v>0</v>
      </c>
      <c r="R110" s="614">
        <f>IF(K110=0,IF(M110=0,0,('[1]Target Risk'!$D$8*(VLOOKUP(A110,[1]!TOX,4,FALSE))*(VLOOKUP(A110,[1]!TOX,37,FALSE)))/('GW-1 Exp'!$V$13*'GW-1 Derm'!$M110)),('[1]Target Risk'!$D$8*(VLOOKUP(A110,[1]!TOX,4,FALSE))*(VLOOKUP(A110,[1]!TOX,37,FALSE)))/('GW-1 Exp'!$J$18*'GW-1 Derm'!$Q110))</f>
        <v>1508.9591323517839</v>
      </c>
      <c r="S110" s="574">
        <f>IF(OR(VLOOKUP(A110,[1]!TOX,12,FALSE)=0,VLOOKUP(A110,[1]!TOX,38,FALSE)=0),0,IF(K110=0,('[1]Target Risk'!$D$12*(VLOOKUP(A110,[1]!TOX,38,FALSE)))/('GW-1 Exp'!$V$21*'GW-1 Derm'!N110*(VLOOKUP(A110,[1]!TOX,12,FALSE))),IF(Q110=0,0,('[1]Target Risk'!$D$12*(VLOOKUP(A110,[1]!TOX,38,FALSE)))/('GW-1 Exp'!$J$26*'GW-1 Derm'!Q110*(VLOOKUP(A110,[1]!TOX,12,FALSE))))))</f>
        <v>61.101456626455416</v>
      </c>
      <c r="T110" s="575">
        <f>IF(OR(VLOOKUP(A110,[1]!TOX,12,FALSE)=0,VLOOKUP(A110,[1]!TOX,38,FALSE)=0),0,IF(NOT(VLOOKUP(A110,[1]!TOX,36,FALSE)="M"), IF(K110=0,('[1]Target Risk'!$D$12*(VLOOKUP(A110,[1]!TOX,38,FALSE)))/('GW-1 Exp'!$V$21*'GW-1 Derm'!N110*(VLOOKUP(A110,[1]!TOX,12,FALSE))),IF(Q110=0,0,('[1]Target Risk'!$D$12*(VLOOKUP(A110,[1]!TOX,38,FALSE)))/('GW-1 Exp'!$J$26*'GW-1 Derm'!Q110*(VLOOKUP(A110,[1]!TOX,12,FALSE))))), IF(K110=0,('[1]Target Risk'!$D$12*(VLOOKUP(A110,[1]!TOX,38,FALSE)))/(('GW-1 Exp'!$V$26*'GW-1 Derm'!AB110*(VLOOKUP(A110,[1]!TOX,12,FALSE))*10)+('GW-1 Exp'!$V$27*'GW-1 Derm'!AC110*(VLOOKUP(A110,[1]!TOX,12,FALSE))*3)+('GW-1 Exp'!$V$28*'GW-1 Derm'!AD110*(VLOOKUP(A110,[1]!TOX,12,FALSE))*3)+('GW-1 Exp'!$V$29*'GW-1 Derm'!AE110*(VLOOKUP(A110,[1]!TOX,12,FALSE))*1)),IF(Q110=0,0,(('[1]Target Risk'!$D$12*(VLOOKUP(A110,[1]!TOX,38,FALSE)))/(('GW-1 Exp'!$J$33*'GW-1 Derm'!Q110*(VLOOKUP(A110,[1]!TOX,12,FALSE))*10)+('GW-1 Exp'!$J$34*'GW-1 Derm'!Q110*(VLOOKUP(A110,[1]!TOX,12,FALSE))*3)+('GW-1 Exp'!$J$35*'GW-1 Derm'!Q110*(VLOOKUP(A110,[1]!TOX,12,FALSE))*3)+('GW-1 Exp'!$J$36*'GW-1 Derm'!Q110*(VLOOKUP(A110,[1]!TOX,12,FALSE))*1)))))))</f>
        <v>61.101456626455416</v>
      </c>
      <c r="AB110" s="838">
        <f>L110*IF('GW-1 Exp'!U$26&lt;=$E110,2*(VLOOKUP(A110,[1]!TOX,67,FALSE))*1*0.000001*SQRT(6*$C110*'GW-1 Exp'!$U$26/PI()),(VLOOKUP(A110,[1]!TOX,67,FALSE))*1*0.000001*('GW-1 Exp'!$U$26/(1+$B110)+2*$C110*(1+3*$B110+3*$B110^2)/(1+$B110)^2))</f>
        <v>9.1397071612715474E-10</v>
      </c>
      <c r="AC110" s="837">
        <f>L110*IF('GW-1 Exp'!U$27&lt;=$E110,2*(VLOOKUP(A110,[1]!TOX,67,FALSE))*1*0.000001*SQRT(6*$C110*'GW-1 Exp'!$U$27/PI()),(VLOOKUP(A110,[1]!TOX,67,FALSE))*1*0.000001*('GW-1 Exp'!$U$27/(1+$B110)+2*$C110*(1+3*$B110+3*$B110^2)/(1+$B110)^2))</f>
        <v>9.9174008289660005E-10</v>
      </c>
      <c r="AD110" s="837">
        <f>L110*IF('GW-1 Exp'!U$28&lt;=$E110,2*(VLOOKUP(A110,[1]!TOX,67,FALSE))*1*0.000001*SQRT(6*$C110*'GW-1 Exp'!$U$28/PI()),(VLOOKUP(A110,[1]!TOX,67,FALSE))*1*0.000001*('GW-1 Exp'!$U$28/(1+$B110)+2*$C110*(1+3*$B110+3*$B110^2)/(1+$B110)^2))</f>
        <v>1.0446695732034333E-9</v>
      </c>
      <c r="AE110" s="839">
        <f>L110*IF('GW-1 Exp'!U$29&lt;=$E110,2*(VLOOKUP(A110,[1]!TOX,67,FALSE))*1*0.000001*SQRT(6*$C110*'GW-1 Exp'!$U$29/PI()),(VLOOKUP(A110,[1]!TOX,67,FALSE))*1*0.000001*('GW-1 Exp'!$U$29/(1+$B110)+2*$C110*(1+3*$B110+3*$B110^2)/(1+$B110)^2))</f>
        <v>1.2134395162855513E-9</v>
      </c>
    </row>
    <row r="111" spans="1:31" x14ac:dyDescent="0.25">
      <c r="A111" s="541" t="s">
        <v>243</v>
      </c>
      <c r="B111" s="587">
        <f>(VLOOKUP(A111,[1]!TOX,67,FALSE))*(SQRT((VLOOKUP(A111,[1]!TOX,57,FALSE)))/2.6)</f>
        <v>3.4185363143521491E-3</v>
      </c>
      <c r="C111" s="596">
        <f>('GW-1 Exp'!$O$29^2)/(6*D111)</f>
        <v>0.29123847587788748</v>
      </c>
      <c r="D111" s="486">
        <f>10^(-2.8-(0.0056*(VLOOKUP(A111,[1]!TOX,57,FALSE))))*'GW-1 Exp'!$O$29</f>
        <v>5.7226870922284262E-7</v>
      </c>
      <c r="E111" s="597">
        <f t="shared" si="5"/>
        <v>0.69897234210692993</v>
      </c>
      <c r="F111" s="597">
        <f>IF(B111&lt;=0.6,0,(G111-SQRT(G111^2-H111^2))*('GW-1 Exp'!$O$29^2/D111))</f>
        <v>0</v>
      </c>
      <c r="G111" s="582">
        <f t="shared" si="6"/>
        <v>0.3053635880404108</v>
      </c>
      <c r="H111" s="598">
        <f t="shared" si="7"/>
        <v>0.3356162397349976</v>
      </c>
      <c r="I111" s="854">
        <f>(VLOOKUP(A111,[1]!TOX,67,FALSE))*1*0.000001*'GW-1 Exp'!$U$13</f>
        <v>5.9285714285714288E-10</v>
      </c>
      <c r="J111" s="855">
        <f>(VLOOKUP(A111,[1]!TOX,67,FALSE))*1*0.000001*'GW-1 Exp'!$U$21</f>
        <v>7.6555555555555563E-10</v>
      </c>
      <c r="K111" s="482"/>
      <c r="L111" s="554">
        <v>1</v>
      </c>
      <c r="M111" s="481">
        <f t="shared" si="8"/>
        <v>5.9285714285714288E-10</v>
      </c>
      <c r="N111" s="483">
        <f t="shared" si="9"/>
        <v>7.6555555555555563E-10</v>
      </c>
      <c r="O111" s="486" t="str">
        <f>IF(VLOOKUP(A111,[1]!TOX,81,FALSE)="Y","Inorganic",IF(K111="*","Streamlined",IF($E111=0,"Reduced Steady State",IF('GW-1 Exp'!$U$13&lt;=$E111,"Non-Steady State","Steady State"))))</f>
        <v>Inorganic</v>
      </c>
      <c r="P111" s="485" t="str">
        <f>IF(VLOOKUP(A111,[1]!TOX,81,FALSE)="Y","Inorganic",IF(K111="*","Streamlined",IF($E111=0,0,IF('GW-1 Exp'!$U$21&lt;=$E111,"Non-Steady State","Steady State"))))</f>
        <v>Inorganic</v>
      </c>
      <c r="Q111" s="563">
        <f>IF(K111=0,0,IF((VLOOKUP(A111,[1]!TOX,67,FALSE))=0,0,IF((VLOOKUP(A111,[1]!TOX,67,FALSE))&lt;0.5,0.2,1)))</f>
        <v>0</v>
      </c>
      <c r="R111" s="614">
        <f>IF(K111=0,IF(M111=0,0,('[1]Target Risk'!$D$8*(VLOOKUP(A111,[1]!TOX,4,FALSE))*(VLOOKUP(A111,[1]!TOX,37,FALSE)))/('GW-1 Exp'!$V$13*'GW-1 Derm'!$M111)),('[1]Target Risk'!$D$8*(VLOOKUP(A111,[1]!TOX,4,FALSE))*(VLOOKUP(A111,[1]!TOX,37,FALSE)))/('GW-1 Exp'!$J$18*'GW-1 Derm'!$Q111))</f>
        <v>2491.8936807789673</v>
      </c>
      <c r="S111" s="574">
        <f>IF(OR(VLOOKUP(A111,[1]!TOX,12,FALSE)=0,VLOOKUP(A111,[1]!TOX,38,FALSE)=0),0,IF(K111=0,('[1]Target Risk'!$D$12*(VLOOKUP(A111,[1]!TOX,38,FALSE)))/('GW-1 Exp'!$V$21*'GW-1 Derm'!N111*(VLOOKUP(A111,[1]!TOX,12,FALSE))),IF(Q111=0,0,('[1]Target Risk'!$D$12*(VLOOKUP(A111,[1]!TOX,38,FALSE)))/('GW-1 Exp'!$J$26*'GW-1 Derm'!Q111*(VLOOKUP(A111,[1]!TOX,12,FALSE))))))</f>
        <v>0</v>
      </c>
      <c r="T111" s="575">
        <f>IF(OR(VLOOKUP(A111,[1]!TOX,12,FALSE)=0,VLOOKUP(A111,[1]!TOX,38,FALSE)=0),0,IF(NOT(VLOOKUP(A111,[1]!TOX,36,FALSE)="M"), IF(K111=0,('[1]Target Risk'!$D$12*(VLOOKUP(A111,[1]!TOX,38,FALSE)))/('GW-1 Exp'!$V$21*'GW-1 Derm'!N111*(VLOOKUP(A111,[1]!TOX,12,FALSE))),IF(Q111=0,0,('[1]Target Risk'!$D$12*(VLOOKUP(A111,[1]!TOX,38,FALSE)))/('GW-1 Exp'!$J$26*'GW-1 Derm'!Q111*(VLOOKUP(A111,[1]!TOX,12,FALSE))))), IF(K111=0,('[1]Target Risk'!$D$12*(VLOOKUP(A111,[1]!TOX,38,FALSE)))/(('GW-1 Exp'!$V$26*'GW-1 Derm'!AB111*(VLOOKUP(A111,[1]!TOX,12,FALSE))*10)+('GW-1 Exp'!$V$27*'GW-1 Derm'!AC111*(VLOOKUP(A111,[1]!TOX,12,FALSE))*3)+('GW-1 Exp'!$V$28*'GW-1 Derm'!AD111*(VLOOKUP(A111,[1]!TOX,12,FALSE))*3)+('GW-1 Exp'!$V$29*'GW-1 Derm'!AE111*(VLOOKUP(A111,[1]!TOX,12,FALSE))*1)),IF(Q111=0,0,(('[1]Target Risk'!$D$12*(VLOOKUP(A111,[1]!TOX,38,FALSE)))/(('GW-1 Exp'!$J$33*'GW-1 Derm'!Q111*(VLOOKUP(A111,[1]!TOX,12,FALSE))*10)+('GW-1 Exp'!$J$34*'GW-1 Derm'!Q111*(VLOOKUP(A111,[1]!TOX,12,FALSE))*3)+('GW-1 Exp'!$J$35*'GW-1 Derm'!Q111*(VLOOKUP(A111,[1]!TOX,12,FALSE))*3)+('GW-1 Exp'!$J$36*'GW-1 Derm'!Q111*(VLOOKUP(A111,[1]!TOX,12,FALSE))*1)))))))</f>
        <v>0</v>
      </c>
      <c r="AB111" s="838">
        <f>L111*IF('GW-1 Exp'!U$26&lt;=$E111,2*(VLOOKUP(A111,[1]!TOX,67,FALSE))*1*0.000001*SQRT(6*$C111*'GW-1 Exp'!$U$26/PI()),(VLOOKUP(A111,[1]!TOX,67,FALSE))*1*0.000001*('GW-1 Exp'!$U$26/(1+$B111)+2*$C111*(1+3*$B111+3*$B111^2)/(1+$B111)^2))</f>
        <v>1.0721616798561611E-9</v>
      </c>
      <c r="AC111" s="837">
        <f>L111*IF('GW-1 Exp'!U$27&lt;=$E111,2*(VLOOKUP(A111,[1]!TOX,67,FALSE))*1*0.000001*SQRT(6*$C111*'GW-1 Exp'!$U$27/PI()),(VLOOKUP(A111,[1]!TOX,67,FALSE))*1*0.000001*('GW-1 Exp'!$U$27/(1+$B111)+2*$C111*(1+3*$B111+3*$B111^2)/(1+$B111)^2))</f>
        <v>1.1633914462432036E-9</v>
      </c>
      <c r="AD111" s="837">
        <f>L111*IF('GW-1 Exp'!U$28&lt;=$E111,2*(VLOOKUP(A111,[1]!TOX,67,FALSE))*1*0.000001*SQRT(6*$C111*'GW-1 Exp'!$U$28/PI()),(VLOOKUP(A111,[1]!TOX,67,FALSE))*1*0.000001*('GW-1 Exp'!$U$28/(1+$B111)+2*$C111*(1+3*$B111+3*$B111^2)/(1+$B111)^2))</f>
        <v>1.2254820255582303E-9</v>
      </c>
      <c r="AE111" s="839">
        <f>L111*IF('GW-1 Exp'!U$29&lt;=$E111,2*(VLOOKUP(A111,[1]!TOX,67,FALSE))*1*0.000001*SQRT(6*$C111*'GW-1 Exp'!$U$29/PI()),(VLOOKUP(A111,[1]!TOX,67,FALSE))*1*0.000001*('GW-1 Exp'!$U$29/(1+$B111)+2*$C111*(1+3*$B111+3*$B111^2)/(1+$B111)^2))</f>
        <v>1.4920797298157324E-9</v>
      </c>
    </row>
    <row r="112" spans="1:31" x14ac:dyDescent="0.25">
      <c r="A112" s="541" t="s">
        <v>244</v>
      </c>
      <c r="B112" s="587">
        <f>(VLOOKUP(A112,[1]!TOX,67,FALSE))*(SQRT((VLOOKUP(A112,[1]!TOX,57,FALSE)))/2.6)</f>
        <v>2.3982241950953683E-3</v>
      </c>
      <c r="C112" s="596">
        <f>('GW-1 Exp'!$O$29^2)/(6*D112)</f>
        <v>0.42330046896213613</v>
      </c>
      <c r="D112" s="486">
        <f>10^(-2.8-(0.0056*(VLOOKUP(A112,[1]!TOX,57,FALSE))))*'GW-1 Exp'!$O$29</f>
        <v>3.9373135370085036E-7</v>
      </c>
      <c r="E112" s="597">
        <f t="shared" si="5"/>
        <v>1.0159211255091267</v>
      </c>
      <c r="F112" s="597">
        <f>IF(B112&lt;=0.6,0,(G112-SQRT(G112^2-H112^2))*('GW-1 Exp'!$O$29^2/D112))</f>
        <v>0</v>
      </c>
      <c r="G112" s="582">
        <f t="shared" si="6"/>
        <v>0.30474288571897223</v>
      </c>
      <c r="H112" s="598">
        <f t="shared" si="7"/>
        <v>0.33493406203638143</v>
      </c>
      <c r="I112" s="854">
        <f>(VLOOKUP(A112,[1]!TOX,67,FALSE))*1*0.000001*'GW-1 Exp'!$U$13</f>
        <v>3.5571428571428567E-10</v>
      </c>
      <c r="J112" s="855">
        <f>(VLOOKUP(A112,[1]!TOX,67,FALSE))*1*0.000001*'GW-1 Exp'!$U$21</f>
        <v>4.5933333333333325E-10</v>
      </c>
      <c r="K112" s="482"/>
      <c r="L112" s="554">
        <v>1</v>
      </c>
      <c r="M112" s="481">
        <f t="shared" si="8"/>
        <v>3.5571428571428567E-10</v>
      </c>
      <c r="N112" s="483">
        <f t="shared" si="9"/>
        <v>4.5933333333333325E-10</v>
      </c>
      <c r="O112" s="486" t="str">
        <f>IF(VLOOKUP(A112,[1]!TOX,81,FALSE)="Y","Inorganic",IF(K112="*","Streamlined",IF($E112=0,"Reduced Steady State",IF('GW-1 Exp'!$U$13&lt;=$E112,"Non-Steady State","Steady State"))))</f>
        <v>Inorganic</v>
      </c>
      <c r="P112" s="485" t="str">
        <f>IF(VLOOKUP(A112,[1]!TOX,81,FALSE)="Y","Inorganic",IF(K112="*","Streamlined",IF($E112=0,0,IF('GW-1 Exp'!$U$21&lt;=$E112,"Non-Steady State","Steady State"))))</f>
        <v>Inorganic</v>
      </c>
      <c r="Q112" s="563">
        <f>IF(K112=0,0,IF((VLOOKUP(A112,[1]!TOX,67,FALSE))=0,0,IF((VLOOKUP(A112,[1]!TOX,67,FALSE))&lt;0.5,0.2,1)))</f>
        <v>0</v>
      </c>
      <c r="R112" s="614">
        <f>IF(K112=0,IF(M112=0,0,('[1]Target Risk'!$D$8*(VLOOKUP(A112,[1]!TOX,4,FALSE))*(VLOOKUP(A112,[1]!TOX,37,FALSE)))/('GW-1 Exp'!$V$13*'GW-1 Derm'!$M112)),('[1]Target Risk'!$D$8*(VLOOKUP(A112,[1]!TOX,4,FALSE))*(VLOOKUP(A112,[1]!TOX,37,FALSE)))/('GW-1 Exp'!$J$18*'GW-1 Derm'!$Q112))</f>
        <v>276.87707564210757</v>
      </c>
      <c r="S112" s="574">
        <f>IF(OR(VLOOKUP(A112,[1]!TOX,12,FALSE)=0,VLOOKUP(A112,[1]!TOX,38,FALSE)=0),0,IF(K112=0,('[1]Target Risk'!$D$12*(VLOOKUP(A112,[1]!TOX,38,FALSE)))/('GW-1 Exp'!$V$21*'GW-1 Derm'!N112*(VLOOKUP(A112,[1]!TOX,12,FALSE))),IF(Q112=0,0,('[1]Target Risk'!$D$12*(VLOOKUP(A112,[1]!TOX,38,FALSE)))/('GW-1 Exp'!$J$26*'GW-1 Derm'!Q112*(VLOOKUP(A112,[1]!TOX,12,FALSE))))))</f>
        <v>0</v>
      </c>
      <c r="T112" s="575">
        <f>IF(OR(VLOOKUP(A112,[1]!TOX,12,FALSE)=0,VLOOKUP(A112,[1]!TOX,38,FALSE)=0),0,IF(NOT(VLOOKUP(A112,[1]!TOX,36,FALSE)="M"), IF(K112=0,('[1]Target Risk'!$D$12*(VLOOKUP(A112,[1]!TOX,38,FALSE)))/('GW-1 Exp'!$V$21*'GW-1 Derm'!N112*(VLOOKUP(A112,[1]!TOX,12,FALSE))),IF(Q112=0,0,('[1]Target Risk'!$D$12*(VLOOKUP(A112,[1]!TOX,38,FALSE)))/('GW-1 Exp'!$J$26*'GW-1 Derm'!Q112*(VLOOKUP(A112,[1]!TOX,12,FALSE))))), IF(K112=0,('[1]Target Risk'!$D$12*(VLOOKUP(A112,[1]!TOX,38,FALSE)))/(('GW-1 Exp'!$V$26*'GW-1 Derm'!AB112*(VLOOKUP(A112,[1]!TOX,12,FALSE))*10)+('GW-1 Exp'!$V$27*'GW-1 Derm'!AC112*(VLOOKUP(A112,[1]!TOX,12,FALSE))*3)+('GW-1 Exp'!$V$28*'GW-1 Derm'!AD112*(VLOOKUP(A112,[1]!TOX,12,FALSE))*3)+('GW-1 Exp'!$V$29*'GW-1 Derm'!AE112*(VLOOKUP(A112,[1]!TOX,12,FALSE))*1)),IF(Q112=0,0,(('[1]Target Risk'!$D$12*(VLOOKUP(A112,[1]!TOX,38,FALSE)))/(('GW-1 Exp'!$J$33*'GW-1 Derm'!Q112*(VLOOKUP(A112,[1]!TOX,12,FALSE))*10)+('GW-1 Exp'!$J$34*'GW-1 Derm'!Q112*(VLOOKUP(A112,[1]!TOX,12,FALSE))*3)+('GW-1 Exp'!$J$35*'GW-1 Derm'!Q112*(VLOOKUP(A112,[1]!TOX,12,FALSE))*3)+('GW-1 Exp'!$J$36*'GW-1 Derm'!Q112*(VLOOKUP(A112,[1]!TOX,12,FALSE))*1)))))))</f>
        <v>0</v>
      </c>
      <c r="AB112" s="838">
        <f>L112*IF('GW-1 Exp'!U$26&lt;=$E112,2*(VLOOKUP(A112,[1]!TOX,67,FALSE))*1*0.000001*SQRT(6*$C112*'GW-1 Exp'!$U$26/PI()),(VLOOKUP(A112,[1]!TOX,67,FALSE))*1*0.000001*('GW-1 Exp'!$U$26/(1+$B112)+2*$C112*(1+3*$B112+3*$B112^2)/(1+$B112)^2))</f>
        <v>7.7555308804006739E-10</v>
      </c>
      <c r="AC112" s="837">
        <f>L112*IF('GW-1 Exp'!U$27&lt;=$E112,2*(VLOOKUP(A112,[1]!TOX,67,FALSE))*1*0.000001*SQRT(6*$C112*'GW-1 Exp'!$U$27/PI()),(VLOOKUP(A112,[1]!TOX,67,FALSE))*1*0.000001*('GW-1 Exp'!$U$27/(1+$B112)+2*$C112*(1+3*$B112+3*$B112^2)/(1+$B112)^2))</f>
        <v>8.4154455963615842E-10</v>
      </c>
      <c r="AD112" s="837">
        <f>L112*IF('GW-1 Exp'!U$28&lt;=$E112,2*(VLOOKUP(A112,[1]!TOX,67,FALSE))*1*0.000001*SQRT(6*$C112*'GW-1 Exp'!$U$28/PI()),(VLOOKUP(A112,[1]!TOX,67,FALSE))*1*0.000001*('GW-1 Exp'!$U$28/(1+$B112)+2*$C112*(1+3*$B112+3*$B112^2)/(1+$B112)^2))</f>
        <v>8.8645806608830646E-10</v>
      </c>
      <c r="AE112" s="839">
        <f>L112*IF('GW-1 Exp'!U$29&lt;=$E112,2*(VLOOKUP(A112,[1]!TOX,67,FALSE))*1*0.000001*SQRT(6*$C112*'GW-1 Exp'!$U$29/PI()),(VLOOKUP(A112,[1]!TOX,67,FALSE))*1*0.000001*('GW-1 Exp'!$U$29/(1+$B112)+2*$C112*(1+3*$B112+3*$B112^2)/(1+$B112)^2))</f>
        <v>1.0296683989973458E-9</v>
      </c>
    </row>
    <row r="113" spans="1:31" x14ac:dyDescent="0.25">
      <c r="A113" s="540" t="s">
        <v>245</v>
      </c>
      <c r="B113" s="587">
        <f>(VLOOKUP(A113,[1]!TOX,67,FALSE))*(SQRT((VLOOKUP(A113,[1]!TOX,57,FALSE)))/2.6)</f>
        <v>0.14392734750495839</v>
      </c>
      <c r="C113" s="596">
        <f>('GW-1 Exp'!$O$29^2)/(6*D113)</f>
        <v>0.40202100934876223</v>
      </c>
      <c r="D113" s="486">
        <f>10^(-2.8-(0.0056*(VLOOKUP(A113,[1]!TOX,57,FALSE))))*'GW-1 Exp'!$O$29</f>
        <v>4.1457203178672584E-7</v>
      </c>
      <c r="E113" s="597">
        <f t="shared" si="5"/>
        <v>0.96485042243702934</v>
      </c>
      <c r="F113" s="597">
        <f>IF(B113&lt;=0.6,0,(G113-SQRT(G113^2-H113^2))*('GW-1 Exp'!$O$29^2/D113))</f>
        <v>0</v>
      </c>
      <c r="G113" s="582">
        <f t="shared" si="6"/>
        <v>0.39774024860941848</v>
      </c>
      <c r="H113" s="598">
        <f t="shared" si="7"/>
        <v>0.43532114455017556</v>
      </c>
      <c r="I113" s="606">
        <f>IF('GW-1 Exp'!$U$13&lt;=$E113,2*(VLOOKUP(A113,[1]!TOX,67,FALSE))*1*0.000001*SQRT(6*$C113*'GW-1 Exp'!$U$13/PI()),(VLOOKUP(A113,[1]!TOX,67,FALSE))*1*0.000001*('GW-1 Exp'!$U$13/(1+$B113)+2*$C113*(1+3*$B113+3*$B113^2)/(1+$B113)^2))</f>
        <v>4.9514236610084095E-8</v>
      </c>
      <c r="J113" s="607">
        <f>IF('GW-1 Exp'!$U$21&lt;=$E113,2*(VLOOKUP(A113,[1]!TOX,67,FALSE))*1*0.000001*SQRT(6*$C113*'GW-1 Exp'!$U$21/PI()),(VLOOKUP(A113,[1]!TOX,67,FALSE))*1*0.000001*('GW-1 Exp'!$U$21/(1+$B113)+2*$C113*(1+3*$B113+3*$B113^2)/(1+$B113)^2))</f>
        <v>5.6265659742327138E-8</v>
      </c>
      <c r="K113" s="482"/>
      <c r="L113" s="554">
        <v>1</v>
      </c>
      <c r="M113" s="481">
        <f t="shared" si="8"/>
        <v>4.9514236610084095E-8</v>
      </c>
      <c r="N113" s="483">
        <f t="shared" si="9"/>
        <v>5.6265659742327138E-8</v>
      </c>
      <c r="O113" s="486" t="str">
        <f>IF(VLOOKUP(A113,[1]!TOX,81,FALSE)="Y","Inorganic",IF(K113="*","Streamlined",IF($E113=0,"Reduced Steady State",IF('GW-1 Exp'!$U$13&lt;=$E113,"Non-Steady State","Steady State"))))</f>
        <v>Non-Steady State</v>
      </c>
      <c r="P113" s="485" t="str">
        <f>IF(VLOOKUP(A113,[1]!TOX,81,FALSE)="Y","Inorganic",IF(K113="*","Streamlined",IF($E113=0,0,IF('GW-1 Exp'!$U$21&lt;=$E113,"Non-Steady State","Steady State"))))</f>
        <v>Non-Steady State</v>
      </c>
      <c r="Q113" s="563">
        <f>IF(K113=0,0,IF((VLOOKUP(A113,[1]!TOX,67,FALSE))=0,0,IF((VLOOKUP(A113,[1]!TOX,67,FALSE))&lt;0.5,0.2,1)))</f>
        <v>0</v>
      </c>
      <c r="R113" s="614">
        <f>IF(K113=0,IF(M113=0,0,('[1]Target Risk'!$D$8*(VLOOKUP(A113,[1]!TOX,4,FALSE))*(VLOOKUP(A113,[1]!TOX,37,FALSE)))/('GW-1 Exp'!$V$13*'GW-1 Derm'!$M113)),('[1]Target Risk'!$D$8*(VLOOKUP(A113,[1]!TOX,4,FALSE))*(VLOOKUP(A113,[1]!TOX,37,FALSE)))/('GW-1 Exp'!$J$18*'GW-1 Derm'!$Q113))</f>
        <v>1989.1073342860386</v>
      </c>
      <c r="S113" s="574">
        <f>IF(OR(VLOOKUP(A113,[1]!TOX,12,FALSE)=0,VLOOKUP(A113,[1]!TOX,38,FALSE)=0),0,IF(K113=0,('[1]Target Risk'!$D$12*(VLOOKUP(A113,[1]!TOX,38,FALSE)))/('GW-1 Exp'!$V$21*'GW-1 Derm'!N113*(VLOOKUP(A113,[1]!TOX,12,FALSE))),IF(Q113=0,0,('[1]Target Risk'!$D$12*(VLOOKUP(A113,[1]!TOX,38,FALSE)))/('GW-1 Exp'!$J$26*'GW-1 Derm'!Q113*(VLOOKUP(A113,[1]!TOX,12,FALSE))))))</f>
        <v>4.4299109298607426</v>
      </c>
      <c r="T113" s="575">
        <f>IF(OR(VLOOKUP(A113,[1]!TOX,12,FALSE)=0,VLOOKUP(A113,[1]!TOX,38,FALSE)=0),0,IF(NOT(VLOOKUP(A113,[1]!TOX,36,FALSE)="M"), IF(K113=0,('[1]Target Risk'!$D$12*(VLOOKUP(A113,[1]!TOX,38,FALSE)))/('GW-1 Exp'!$V$21*'GW-1 Derm'!N113*(VLOOKUP(A113,[1]!TOX,12,FALSE))),IF(Q113=0,0,('[1]Target Risk'!$D$12*(VLOOKUP(A113,[1]!TOX,38,FALSE)))/('GW-1 Exp'!$J$26*'GW-1 Derm'!Q113*(VLOOKUP(A113,[1]!TOX,12,FALSE))))), IF(K113=0,('[1]Target Risk'!$D$12*(VLOOKUP(A113,[1]!TOX,38,FALSE)))/(('GW-1 Exp'!$V$26*'GW-1 Derm'!AB113*(VLOOKUP(A113,[1]!TOX,12,FALSE))*10)+('GW-1 Exp'!$V$27*'GW-1 Derm'!AC113*(VLOOKUP(A113,[1]!TOX,12,FALSE))*3)+('GW-1 Exp'!$V$28*'GW-1 Derm'!AD113*(VLOOKUP(A113,[1]!TOX,12,FALSE))*3)+('GW-1 Exp'!$V$29*'GW-1 Derm'!AE113*(VLOOKUP(A113,[1]!TOX,12,FALSE))*1)),IF(Q113=0,0,(('[1]Target Risk'!$D$12*(VLOOKUP(A113,[1]!TOX,38,FALSE)))/(('GW-1 Exp'!$J$33*'GW-1 Derm'!Q113*(VLOOKUP(A113,[1]!TOX,12,FALSE))*10)+('GW-1 Exp'!$J$34*'GW-1 Derm'!Q113*(VLOOKUP(A113,[1]!TOX,12,FALSE))*3)+('GW-1 Exp'!$J$35*'GW-1 Derm'!Q113*(VLOOKUP(A113,[1]!TOX,12,FALSE))*3)+('GW-1 Exp'!$J$36*'GW-1 Derm'!Q113*(VLOOKUP(A113,[1]!TOX,12,FALSE))*1)))))))</f>
        <v>4.4299109298607426</v>
      </c>
      <c r="AB113" s="838">
        <f>L113*IF('GW-1 Exp'!U$26&lt;=$E113,2*(VLOOKUP(A113,[1]!TOX,67,FALSE))*1*0.000001*SQRT(6*$C113*'GW-1 Exp'!$U$26/PI()),(VLOOKUP(A113,[1]!TOX,67,FALSE))*1*0.000001*('GW-1 Exp'!$U$26/(1+$B113)+2*$C113*(1+3*$B113+3*$B113^2)/(1+$B113)^2))</f>
        <v>4.6223229051209686E-8</v>
      </c>
      <c r="AC113" s="837">
        <f>L113*IF('GW-1 Exp'!U$27&lt;=$E113,2*(VLOOKUP(A113,[1]!TOX,67,FALSE))*1*0.000001*SQRT(6*$C113*'GW-1 Exp'!$U$27/PI()),(VLOOKUP(A113,[1]!TOX,67,FALSE))*1*0.000001*('GW-1 Exp'!$U$27/(1+$B113)+2*$C113*(1+3*$B113+3*$B113^2)/(1+$B113)^2))</f>
        <v>5.0156343307412499E-8</v>
      </c>
      <c r="AD113" s="837">
        <f>L113*IF('GW-1 Exp'!U$28&lt;=$E113,2*(VLOOKUP(A113,[1]!TOX,67,FALSE))*1*0.000001*SQRT(6*$C113*'GW-1 Exp'!$U$28/PI()),(VLOOKUP(A113,[1]!TOX,67,FALSE))*1*0.000001*('GW-1 Exp'!$U$28/(1+$B113)+2*$C113*(1+3*$B113+3*$B113^2)/(1+$B113)^2))</f>
        <v>5.2833203638762722E-8</v>
      </c>
      <c r="AE113" s="839">
        <f>L113*IF('GW-1 Exp'!U$29&lt;=$E113,2*(VLOOKUP(A113,[1]!TOX,67,FALSE))*1*0.000001*SQRT(6*$C113*'GW-1 Exp'!$U$29/PI()),(VLOOKUP(A113,[1]!TOX,67,FALSE))*1*0.000001*('GW-1 Exp'!$U$29/(1+$B113)+2*$C113*(1+3*$B113+3*$B113^2)/(1+$B113)^2))</f>
        <v>6.1368588414656403E-8</v>
      </c>
    </row>
    <row r="114" spans="1:31" x14ac:dyDescent="0.25">
      <c r="A114" s="540" t="s">
        <v>320</v>
      </c>
      <c r="B114" s="587">
        <f>(VLOOKUP(A114,[1]!TOX,67,FALSE))*(SQRT((VLOOKUP(A114,[1]!TOX,57,FALSE)))/2.6)</f>
        <v>5.2936422500637379</v>
      </c>
      <c r="C114" s="596">
        <f>('GW-1 Exp'!$O$29^2)/(6*D114)</f>
        <v>6.684189434776254</v>
      </c>
      <c r="D114" s="486">
        <f>10^(-2.8-(0.0056*(VLOOKUP(A114,[1]!TOX,57,FALSE))))*'GW-1 Exp'!$O$29</f>
        <v>2.4934461880978337E-8</v>
      </c>
      <c r="E114" s="597">
        <f t="shared" si="5"/>
        <v>29.391057180764708</v>
      </c>
      <c r="F114" s="597">
        <f>IF(B114&lt;=0.6,0,(G114-SQRT(G114^2-H114^2))*('GW-1 Exp'!$O$29^2/D114))</f>
        <v>29.391057180764708</v>
      </c>
      <c r="G114" s="582">
        <f t="shared" si="6"/>
        <v>19.869860632696533</v>
      </c>
      <c r="H114" s="598">
        <f t="shared" si="7"/>
        <v>5.3466057519739323</v>
      </c>
      <c r="I114" s="606">
        <f>IF('GW-1 Exp'!$U$13&lt;=$E114,2*(VLOOKUP(A114,[1]!TOX,67,FALSE))*1*0.000001*SQRT(6*$C114*'GW-1 Exp'!$U$13/PI()),(VLOOKUP(A114,[1]!TOX,67,FALSE))*1*0.000001*('GW-1 Exp'!$U$13/(1+$B114)+2*$C114*(1+3*$B114+3*$B114^2)/(1+$B114)^2))</f>
        <v>4.2201713777308028E-6</v>
      </c>
      <c r="J114" s="607">
        <f>IF('GW-1 Exp'!$U$21&lt;=$E114,2*(VLOOKUP(A114,[1]!TOX,67,FALSE))*1*0.000001*SQRT(6*$C114*'GW-1 Exp'!$U$21/PI()),(VLOOKUP(A114,[1]!TOX,67,FALSE))*1*0.000001*('GW-1 Exp'!$U$21/(1+$B114)+2*$C114*(1+3*$B114+3*$B114^2)/(1+$B114)^2))</f>
        <v>4.7956051239079384E-6</v>
      </c>
      <c r="K114" s="482" t="s">
        <v>91</v>
      </c>
      <c r="L114" s="554">
        <v>0.5</v>
      </c>
      <c r="M114" s="481">
        <f t="shared" si="8"/>
        <v>2.1100856888654014E-6</v>
      </c>
      <c r="N114" s="483">
        <f t="shared" si="9"/>
        <v>2.3978025619539692E-6</v>
      </c>
      <c r="O114" s="486" t="str">
        <f>IF(VLOOKUP(A114,[1]!TOX,81,FALSE)="Y","Inorganic",IF(K114="*","Streamlined",IF($E114=0,"Reduced Steady State",IF('GW-1 Exp'!$U$13&lt;=$E114,"Non-Steady State","Steady State"))))</f>
        <v>Streamlined</v>
      </c>
      <c r="P114" s="485" t="str">
        <f>IF(VLOOKUP(A114,[1]!TOX,81,FALSE)="Y","Inorganic",IF(K114="*","Streamlined",IF($E114=0,0,IF('GW-1 Exp'!$U$21&lt;=$E114,"Non-Steady State","Steady State"))))</f>
        <v>Streamlined</v>
      </c>
      <c r="Q114" s="563">
        <f>IF(K114=0,0,IF((VLOOKUP(A114,[1]!TOX,67,FALSE))=0,0,IF((VLOOKUP(A114,[1]!TOX,67,FALSE))&lt;0.5,0.2,1)))</f>
        <v>1</v>
      </c>
      <c r="R114" s="614">
        <f>IF(K114=0,IF(M114=0,0,('[1]Target Risk'!$D$8*(VLOOKUP(A114,[1]!TOX,4,FALSE))*(VLOOKUP(A114,[1]!TOX,37,FALSE)))/('GW-1 Exp'!$V$13*'GW-1 Derm'!$M114)),('[1]Target Risk'!$D$8*(VLOOKUP(A114,[1]!TOX,4,FALSE))*(VLOOKUP(A114,[1]!TOX,37,FALSE)))/('GW-1 Exp'!$J$18*'GW-1 Derm'!$Q114))</f>
        <v>2.2707211538461543E-6</v>
      </c>
      <c r="S114" s="574">
        <f>IF(OR(VLOOKUP(A114,[1]!TOX,12,FALSE)=0,VLOOKUP(A114,[1]!TOX,38,FALSE)=0),0,IF(K114=0,('[1]Target Risk'!$D$12*(VLOOKUP(A114,[1]!TOX,38,FALSE)))/('GW-1 Exp'!$V$21*'GW-1 Derm'!N114*(VLOOKUP(A114,[1]!TOX,12,FALSE))),IF(Q114=0,0,('[1]Target Risk'!$D$12*(VLOOKUP(A114,[1]!TOX,38,FALSE)))/('GW-1 Exp'!$J$26*'GW-1 Derm'!Q114*(VLOOKUP(A114,[1]!TOX,12,FALSE))))))</f>
        <v>3.6841480296994188E-7</v>
      </c>
      <c r="T114" s="575">
        <f>IF(OR(VLOOKUP(A114,[1]!TOX,12,FALSE)=0,VLOOKUP(A114,[1]!TOX,38,FALSE)=0),0,IF(NOT(VLOOKUP(A114,[1]!TOX,36,FALSE)="M"), IF(K114=0,('[1]Target Risk'!$D$12*(VLOOKUP(A114,[1]!TOX,38,FALSE)))/('GW-1 Exp'!$V$21*'GW-1 Derm'!N114*(VLOOKUP(A114,[1]!TOX,12,FALSE))),IF(Q114=0,0,('[1]Target Risk'!$D$12*(VLOOKUP(A114,[1]!TOX,38,FALSE)))/('GW-1 Exp'!$J$26*'GW-1 Derm'!Q114*(VLOOKUP(A114,[1]!TOX,12,FALSE))))), IF(K114=0,('[1]Target Risk'!$D$12*(VLOOKUP(A114,[1]!TOX,38,FALSE)))/(('GW-1 Exp'!$V$26*'GW-1 Derm'!AB114*(VLOOKUP(A114,[1]!TOX,12,FALSE))*10)+('GW-1 Exp'!$V$27*'GW-1 Derm'!AC114*(VLOOKUP(A114,[1]!TOX,12,FALSE))*3)+('GW-1 Exp'!$V$28*'GW-1 Derm'!AD114*(VLOOKUP(A114,[1]!TOX,12,FALSE))*3)+('GW-1 Exp'!$V$29*'GW-1 Derm'!AE114*(VLOOKUP(A114,[1]!TOX,12,FALSE))*1)),IF(Q114=0,0,(('[1]Target Risk'!$D$12*(VLOOKUP(A114,[1]!TOX,38,FALSE)))/(('GW-1 Exp'!$J$33*'GW-1 Derm'!Q114*(VLOOKUP(A114,[1]!TOX,12,FALSE))*10)+('GW-1 Exp'!$J$34*'GW-1 Derm'!Q114*(VLOOKUP(A114,[1]!TOX,12,FALSE))*3)+('GW-1 Exp'!$J$35*'GW-1 Derm'!Q114*(VLOOKUP(A114,[1]!TOX,12,FALSE))*3)+('GW-1 Exp'!$J$36*'GW-1 Derm'!Q114*(VLOOKUP(A114,[1]!TOX,12,FALSE))*1)))))))</f>
        <v>3.6841480296994188E-7</v>
      </c>
      <c r="AB114" s="838">
        <f>L114*IF('GW-1 Exp'!U$26&lt;=$E114,2*(VLOOKUP(A114,[1]!TOX,67,FALSE))*1*0.000001*SQRT(6*$C114*'GW-1 Exp'!$U$26/PI()),(VLOOKUP(A114,[1]!TOX,67,FALSE))*1*0.000001*('GW-1 Exp'!$U$26/(1+$B114)+2*$C114*(1+3*$B114+3*$B114^2)/(1+$B114)^2))</f>
        <v>1.9698369760231948E-6</v>
      </c>
      <c r="AC114" s="837">
        <f>L114*IF('GW-1 Exp'!U$27&lt;=$E114,2*(VLOOKUP(A114,[1]!TOX,67,FALSE))*1*0.000001*SQRT(6*$C114*'GW-1 Exp'!$U$27/PI()),(VLOOKUP(A114,[1]!TOX,67,FALSE))*1*0.000001*('GW-1 Exp'!$U$27/(1+$B114)+2*$C114*(1+3*$B114+3*$B114^2)/(1+$B114)^2))</f>
        <v>2.1374495390531139E-6</v>
      </c>
      <c r="AD114" s="837">
        <f>L114*IF('GW-1 Exp'!U$28&lt;=$E114,2*(VLOOKUP(A114,[1]!TOX,67,FALSE))*1*0.000001*SQRT(6*$C114*'GW-1 Exp'!$U$28/PI()),(VLOOKUP(A114,[1]!TOX,67,FALSE))*1*0.000001*('GW-1 Exp'!$U$28/(1+$B114)+2*$C114*(1+3*$B114+3*$B114^2)/(1+$B114)^2))</f>
        <v>2.2515259151215527E-6</v>
      </c>
      <c r="AE114" s="839">
        <f>L114*IF('GW-1 Exp'!U$29&lt;=$E114,2*(VLOOKUP(A114,[1]!TOX,67,FALSE))*1*0.000001*SQRT(6*$C114*'GW-1 Exp'!$U$29/PI()),(VLOOKUP(A114,[1]!TOX,67,FALSE))*1*0.000001*('GW-1 Exp'!$U$29/(1+$B114)+2*$C114*(1+3*$B114+3*$B114^2)/(1+$B114)^2))</f>
        <v>2.6152676285685671E-6</v>
      </c>
    </row>
    <row r="115" spans="1:31" ht="23" x14ac:dyDescent="0.25">
      <c r="A115" s="540" t="s">
        <v>246</v>
      </c>
      <c r="B115" s="587">
        <f>(VLOOKUP(A115,[1]!TOX,67,FALSE))*(SQRT((VLOOKUP(A115,[1]!TOX,57,FALSE)))/2.6)</f>
        <v>7.7746579818265257E-2</v>
      </c>
      <c r="C115" s="596">
        <f>('GW-1 Exp'!$O$29^2)/(6*D115)</f>
        <v>0.91759016414132433</v>
      </c>
      <c r="D115" s="486">
        <f>10^(-2.8-(0.0056*(VLOOKUP(A115,[1]!TOX,57,FALSE))))*'GW-1 Exp'!$O$29</f>
        <v>1.8163519311765114E-7</v>
      </c>
      <c r="E115" s="597">
        <f t="shared" si="5"/>
        <v>2.2022163939391781</v>
      </c>
      <c r="F115" s="597">
        <f>IF(B115&lt;=0.6,0,(G115-SQRT(G115^2-H115^2))*('GW-1 Exp'!$O$29^2/D115))</f>
        <v>0</v>
      </c>
      <c r="G115" s="582">
        <f t="shared" si="6"/>
        <v>0.35242397686417115</v>
      </c>
      <c r="H115" s="598">
        <f t="shared" si="7"/>
        <v>0.38703388313732712</v>
      </c>
      <c r="I115" s="606">
        <f>IF('GW-1 Exp'!$U$13&lt;=$E115,2*(VLOOKUP(A115,[1]!TOX,67,FALSE))*1*0.000001*SQRT(6*$C115*'GW-1 Exp'!$U$13/PI()),(VLOOKUP(A115,[1]!TOX,67,FALSE))*1*0.000001*('GW-1 Exp'!$U$13/(1+$B115)+2*$C115*(1+3*$B115+3*$B115^2)/(1+$B115)^2))</f>
        <v>3.1792895873232869E-8</v>
      </c>
      <c r="J115" s="607">
        <f>IF('GW-1 Exp'!$U$21&lt;=$E115,2*(VLOOKUP(A115,[1]!TOX,67,FALSE))*1*0.000001*SQRT(6*$C115*'GW-1 Exp'!$U$21/PI()),(VLOOKUP(A115,[1]!TOX,67,FALSE))*1*0.000001*('GW-1 Exp'!$U$21/(1+$B115)+2*$C115*(1+3*$B115+3*$B115^2)/(1+$B115)^2))</f>
        <v>3.6127958015659678E-8</v>
      </c>
      <c r="K115" s="482"/>
      <c r="L115" s="554">
        <v>1</v>
      </c>
      <c r="M115" s="481">
        <f t="shared" si="8"/>
        <v>3.1792895873232869E-8</v>
      </c>
      <c r="N115" s="483">
        <f t="shared" si="9"/>
        <v>3.6127958015659678E-8</v>
      </c>
      <c r="O115" s="486" t="str">
        <f>IF(VLOOKUP(A115,[1]!TOX,81,FALSE)="Y","Inorganic",IF(K115="*","Streamlined",IF($E115=0,"Reduced Steady State",IF('GW-1 Exp'!$U$13&lt;=$E115,"Non-Steady State","Steady State"))))</f>
        <v>Non-Steady State</v>
      </c>
      <c r="P115" s="485" t="str">
        <f>IF(VLOOKUP(A115,[1]!TOX,81,FALSE)="Y","Inorganic",IF(K115="*","Streamlined",IF($E115=0,0,IF('GW-1 Exp'!$U$21&lt;=$E115,"Non-Steady State","Steady State"))))</f>
        <v>Non-Steady State</v>
      </c>
      <c r="Q115" s="563">
        <f>IF(K115=0,0,IF((VLOOKUP(A115,[1]!TOX,67,FALSE))=0,0,IF((VLOOKUP(A115,[1]!TOX,67,FALSE))&lt;0.5,0.2,1)))</f>
        <v>0</v>
      </c>
      <c r="R115" s="614">
        <f>IF(K115=0,IF(M115=0,0,('[1]Target Risk'!$D$8*(VLOOKUP(A115,[1]!TOX,4,FALSE))*(VLOOKUP(A115,[1]!TOX,37,FALSE)))/('GW-1 Exp'!$V$13*'GW-1 Derm'!$M115)),('[1]Target Risk'!$D$8*(VLOOKUP(A115,[1]!TOX,4,FALSE))*(VLOOKUP(A115,[1]!TOX,37,FALSE)))/('GW-1 Exp'!$J$18*'GW-1 Derm'!$Q115))</f>
        <v>325.27262745949895</v>
      </c>
      <c r="S115" s="574">
        <f>IF(OR(VLOOKUP(A115,[1]!TOX,12,FALSE)=0,VLOOKUP(A115,[1]!TOX,38,FALSE)=0),0,IF(K115=0,('[1]Target Risk'!$D$12*(VLOOKUP(A115,[1]!TOX,38,FALSE)))/('GW-1 Exp'!$V$21*'GW-1 Derm'!N115*(VLOOKUP(A115,[1]!TOX,12,FALSE))),IF(Q115=0,0,('[1]Target Risk'!$D$12*(VLOOKUP(A115,[1]!TOX,38,FALSE)))/('GW-1 Exp'!$J$26*'GW-1 Derm'!Q115*(VLOOKUP(A115,[1]!TOX,12,FALSE))))))</f>
        <v>5.5723827728000819</v>
      </c>
      <c r="T115" s="575">
        <f>IF(OR(VLOOKUP(A115,[1]!TOX,12,FALSE)=0,VLOOKUP(A115,[1]!TOX,38,FALSE)=0),0,IF(NOT(VLOOKUP(A115,[1]!TOX,36,FALSE)="M"), IF(K115=0,('[1]Target Risk'!$D$12*(VLOOKUP(A115,[1]!TOX,38,FALSE)))/('GW-1 Exp'!$V$21*'GW-1 Derm'!N115*(VLOOKUP(A115,[1]!TOX,12,FALSE))),IF(Q115=0,0,('[1]Target Risk'!$D$12*(VLOOKUP(A115,[1]!TOX,38,FALSE)))/('GW-1 Exp'!$J$26*'GW-1 Derm'!Q115*(VLOOKUP(A115,[1]!TOX,12,FALSE))))), IF(K115=0,('[1]Target Risk'!$D$12*(VLOOKUP(A115,[1]!TOX,38,FALSE)))/(('GW-1 Exp'!$V$26*'GW-1 Derm'!AB115*(VLOOKUP(A115,[1]!TOX,12,FALSE))*10)+('GW-1 Exp'!$V$27*'GW-1 Derm'!AC115*(VLOOKUP(A115,[1]!TOX,12,FALSE))*3)+('GW-1 Exp'!$V$28*'GW-1 Derm'!AD115*(VLOOKUP(A115,[1]!TOX,12,FALSE))*3)+('GW-1 Exp'!$V$29*'GW-1 Derm'!AE115*(VLOOKUP(A115,[1]!TOX,12,FALSE))*1)),IF(Q115=0,0,(('[1]Target Risk'!$D$12*(VLOOKUP(A115,[1]!TOX,38,FALSE)))/(('GW-1 Exp'!$J$33*'GW-1 Derm'!Q115*(VLOOKUP(A115,[1]!TOX,12,FALSE))*10)+('GW-1 Exp'!$J$34*'GW-1 Derm'!Q115*(VLOOKUP(A115,[1]!TOX,12,FALSE))*3)+('GW-1 Exp'!$J$35*'GW-1 Derm'!Q115*(VLOOKUP(A115,[1]!TOX,12,FALSE))*3)+('GW-1 Exp'!$J$36*'GW-1 Derm'!Q115*(VLOOKUP(A115,[1]!TOX,12,FALSE))*1)))))))</f>
        <v>5.5723827728000819</v>
      </c>
      <c r="AB115" s="838">
        <f>L115*IF('GW-1 Exp'!U$26&lt;=$E115,2*(VLOOKUP(A115,[1]!TOX,67,FALSE))*1*0.000001*SQRT(6*$C115*'GW-1 Exp'!$U$26/PI()),(VLOOKUP(A115,[1]!TOX,67,FALSE))*1*0.000001*('GW-1 Exp'!$U$26/(1+$B115)+2*$C115*(1+3*$B115+3*$B115^2)/(1+$B115)^2))</f>
        <v>2.9679752910709501E-8</v>
      </c>
      <c r="AC115" s="837">
        <f>L115*IF('GW-1 Exp'!U$27&lt;=$E115,2*(VLOOKUP(A115,[1]!TOX,67,FALSE))*1*0.000001*SQRT(6*$C115*'GW-1 Exp'!$U$27/PI()),(VLOOKUP(A115,[1]!TOX,67,FALSE))*1*0.000001*('GW-1 Exp'!$U$27/(1+$B115)+2*$C115*(1+3*$B115+3*$B115^2)/(1+$B115)^2))</f>
        <v>3.2205190048914661E-8</v>
      </c>
      <c r="AD115" s="837">
        <f>L115*IF('GW-1 Exp'!U$28&lt;=$E115,2*(VLOOKUP(A115,[1]!TOX,67,FALSE))*1*0.000001*SQRT(6*$C115*'GW-1 Exp'!$U$28/PI()),(VLOOKUP(A115,[1]!TOX,67,FALSE))*1*0.000001*('GW-1 Exp'!$U$28/(1+$B115)+2*$C115*(1+3*$B115+3*$B115^2)/(1+$B115)^2))</f>
        <v>3.392399150094942E-8</v>
      </c>
      <c r="AE115" s="839">
        <f>L115*IF('GW-1 Exp'!U$29&lt;=$E115,2*(VLOOKUP(A115,[1]!TOX,67,FALSE))*1*0.000001*SQRT(6*$C115*'GW-1 Exp'!$U$29/PI()),(VLOOKUP(A115,[1]!TOX,67,FALSE))*1*0.000001*('GW-1 Exp'!$U$29/(1+$B115)+2*$C115*(1+3*$B115+3*$B115^2)/(1+$B115)^2))</f>
        <v>3.9404528372696293E-8</v>
      </c>
    </row>
    <row r="116" spans="1:31" ht="23" x14ac:dyDescent="0.25">
      <c r="A116" s="540" t="s">
        <v>247</v>
      </c>
      <c r="B116" s="587">
        <f>(VLOOKUP(A116,[1]!TOX,67,FALSE))*(SQRT((VLOOKUP(A116,[1]!TOX,57,FALSE)))/2.6)</f>
        <v>3.422010146275719E-2</v>
      </c>
      <c r="C116" s="596">
        <f>('GW-1 Exp'!$O$29^2)/(6*D116)</f>
        <v>0.91759016414132433</v>
      </c>
      <c r="D116" s="486">
        <f>10^(-2.8-(0.0056*(VLOOKUP(A116,[1]!TOX,57,FALSE))))*'GW-1 Exp'!$O$29</f>
        <v>1.8163519311765114E-7</v>
      </c>
      <c r="E116" s="597">
        <f t="shared" si="5"/>
        <v>2.2022163939391781</v>
      </c>
      <c r="F116" s="597">
        <f>IF(B116&lt;=0.6,0,(G116-SQRT(G116^2-H116^2))*('GW-1 Exp'!$O$29^2/D116))</f>
        <v>0</v>
      </c>
      <c r="G116" s="582">
        <f t="shared" si="6"/>
        <v>0.32441149299326022</v>
      </c>
      <c r="H116" s="598">
        <f t="shared" si="7"/>
        <v>0.35652415730336673</v>
      </c>
      <c r="I116" s="606">
        <f>IF('GW-1 Exp'!$U$13&lt;=$E116,2*(VLOOKUP(A116,[1]!TOX,67,FALSE))*1*0.000001*SQRT(6*$C116*'GW-1 Exp'!$U$13/PI()),(VLOOKUP(A116,[1]!TOX,67,FALSE))*1*0.000001*('GW-1 Exp'!$U$13/(1+$B116)+2*$C116*(1+3*$B116+3*$B116^2)/(1+$B116)^2))</f>
        <v>1.3993620364008683E-8</v>
      </c>
      <c r="J116" s="607">
        <f>IF('GW-1 Exp'!$U$21&lt;=$E116,2*(VLOOKUP(A116,[1]!TOX,67,FALSE))*1*0.000001*SQRT(6*$C116*'GW-1 Exp'!$U$21/PI()),(VLOOKUP(A116,[1]!TOX,67,FALSE))*1*0.000001*('GW-1 Exp'!$U$21/(1+$B116)+2*$C116*(1+3*$B116+3*$B116^2)/(1+$B116)^2))</f>
        <v>1.5901694863336708E-8</v>
      </c>
      <c r="K116" s="482"/>
      <c r="L116" s="554">
        <v>1</v>
      </c>
      <c r="M116" s="481">
        <f t="shared" si="8"/>
        <v>1.3993620364008683E-8</v>
      </c>
      <c r="N116" s="483">
        <f t="shared" si="9"/>
        <v>1.5901694863336708E-8</v>
      </c>
      <c r="O116" s="486" t="str">
        <f>IF(VLOOKUP(A116,[1]!TOX,81,FALSE)="Y","Inorganic",IF(K116="*","Streamlined",IF($E116=0,"Reduced Steady State",IF('GW-1 Exp'!$U$13&lt;=$E116,"Non-Steady State","Steady State"))))</f>
        <v>Non-Steady State</v>
      </c>
      <c r="P116" s="485" t="str">
        <f>IF(VLOOKUP(A116,[1]!TOX,81,FALSE)="Y","Inorganic",IF(K116="*","Streamlined",IF($E116=0,0,IF('GW-1 Exp'!$U$21&lt;=$E116,"Non-Steady State","Steady State"))))</f>
        <v>Non-Steady State</v>
      </c>
      <c r="Q116" s="563">
        <f>IF(K116=0,0,IF((VLOOKUP(A116,[1]!TOX,67,FALSE))=0,0,IF((VLOOKUP(A116,[1]!TOX,67,FALSE))&lt;0.5,0.2,1)))</f>
        <v>0</v>
      </c>
      <c r="R116" s="614">
        <f>IF(K116=0,IF(M116=0,0,('[1]Target Risk'!$D$8*(VLOOKUP(A116,[1]!TOX,4,FALSE))*(VLOOKUP(A116,[1]!TOX,37,FALSE)))/('GW-1 Exp'!$V$13*'GW-1 Derm'!$M116)),('[1]Target Risk'!$D$8*(VLOOKUP(A116,[1]!TOX,4,FALSE))*(VLOOKUP(A116,[1]!TOX,37,FALSE)))/('GW-1 Exp'!$J$18*'GW-1 Derm'!$Q116))</f>
        <v>0</v>
      </c>
      <c r="S116" s="574">
        <f>IF(OR(VLOOKUP(A116,[1]!TOX,12,FALSE)=0,VLOOKUP(A116,[1]!TOX,38,FALSE)=0),0,IF(K116=0,('[1]Target Risk'!$D$12*(VLOOKUP(A116,[1]!TOX,38,FALSE)))/('GW-1 Exp'!$V$21*'GW-1 Derm'!N116*(VLOOKUP(A116,[1]!TOX,12,FALSE))),IF(Q116=0,0,('[1]Target Risk'!$D$12*(VLOOKUP(A116,[1]!TOX,38,FALSE)))/('GW-1 Exp'!$J$26*'GW-1 Derm'!Q116*(VLOOKUP(A116,[1]!TOX,12,FALSE))))))</f>
        <v>1.6458274188444724</v>
      </c>
      <c r="T116" s="575">
        <f>IF(OR(VLOOKUP(A116,[1]!TOX,12,FALSE)=0,VLOOKUP(A116,[1]!TOX,38,FALSE)=0),0,IF(NOT(VLOOKUP(A116,[1]!TOX,36,FALSE)="M"), IF(K116=0,('[1]Target Risk'!$D$12*(VLOOKUP(A116,[1]!TOX,38,FALSE)))/('GW-1 Exp'!$V$21*'GW-1 Derm'!N116*(VLOOKUP(A116,[1]!TOX,12,FALSE))),IF(Q116=0,0,('[1]Target Risk'!$D$12*(VLOOKUP(A116,[1]!TOX,38,FALSE)))/('GW-1 Exp'!$J$26*'GW-1 Derm'!Q116*(VLOOKUP(A116,[1]!TOX,12,FALSE))))), IF(K116=0,('[1]Target Risk'!$D$12*(VLOOKUP(A116,[1]!TOX,38,FALSE)))/(('GW-1 Exp'!$V$26*'GW-1 Derm'!AB116*(VLOOKUP(A116,[1]!TOX,12,FALSE))*10)+('GW-1 Exp'!$V$27*'GW-1 Derm'!AC116*(VLOOKUP(A116,[1]!TOX,12,FALSE))*3)+('GW-1 Exp'!$V$28*'GW-1 Derm'!AD116*(VLOOKUP(A116,[1]!TOX,12,FALSE))*3)+('GW-1 Exp'!$V$29*'GW-1 Derm'!AE116*(VLOOKUP(A116,[1]!TOX,12,FALSE))*1)),IF(Q116=0,0,(('[1]Target Risk'!$D$12*(VLOOKUP(A116,[1]!TOX,38,FALSE)))/(('GW-1 Exp'!$J$33*'GW-1 Derm'!Q116*(VLOOKUP(A116,[1]!TOX,12,FALSE))*10)+('GW-1 Exp'!$J$34*'GW-1 Derm'!Q116*(VLOOKUP(A116,[1]!TOX,12,FALSE))*3)+('GW-1 Exp'!$J$35*'GW-1 Derm'!Q116*(VLOOKUP(A116,[1]!TOX,12,FALSE))*3)+('GW-1 Exp'!$J$36*'GW-1 Derm'!Q116*(VLOOKUP(A116,[1]!TOX,12,FALSE))*1)))))))</f>
        <v>1.6458274188444724</v>
      </c>
      <c r="AB116" s="838">
        <f>L116*IF('GW-1 Exp'!U$26&lt;=$E116,2*(VLOOKUP(A116,[1]!TOX,67,FALSE))*1*0.000001*SQRT(6*$C116*'GW-1 Exp'!$U$26/PI()),(VLOOKUP(A116,[1]!TOX,67,FALSE))*1*0.000001*('GW-1 Exp'!$U$26/(1+$B116)+2*$C116*(1+3*$B116+3*$B116^2)/(1+$B116)^2))</f>
        <v>1.3063522001458301E-8</v>
      </c>
      <c r="AC116" s="837">
        <f>L116*IF('GW-1 Exp'!U$27&lt;=$E116,2*(VLOOKUP(A116,[1]!TOX,67,FALSE))*1*0.000001*SQRT(6*$C116*'GW-1 Exp'!$U$27/PI()),(VLOOKUP(A116,[1]!TOX,67,FALSE))*1*0.000001*('GW-1 Exp'!$U$27/(1+$B116)+2*$C116*(1+3*$B116+3*$B116^2)/(1+$B116)^2))</f>
        <v>1.4175091350350645E-8</v>
      </c>
      <c r="AD116" s="837">
        <f>L116*IF('GW-1 Exp'!U$28&lt;=$E116,2*(VLOOKUP(A116,[1]!TOX,67,FALSE))*1*0.000001*SQRT(6*$C116*'GW-1 Exp'!$U$28/PI()),(VLOOKUP(A116,[1]!TOX,67,FALSE))*1*0.000001*('GW-1 Exp'!$U$28/(1+$B116)+2*$C116*(1+3*$B116+3*$B116^2)/(1+$B116)^2))</f>
        <v>1.4931620579294881E-8</v>
      </c>
      <c r="AE116" s="839">
        <f>L116*IF('GW-1 Exp'!U$29&lt;=$E116,2*(VLOOKUP(A116,[1]!TOX,67,FALSE))*1*0.000001*SQRT(6*$C116*'GW-1 Exp'!$U$29/PI()),(VLOOKUP(A116,[1]!TOX,67,FALSE))*1*0.000001*('GW-1 Exp'!$U$29/(1+$B116)+2*$C116*(1+3*$B116+3*$B116^2)/(1+$B116)^2))</f>
        <v>1.7343874960901769E-8</v>
      </c>
    </row>
    <row r="117" spans="1:31" x14ac:dyDescent="0.25">
      <c r="A117" s="540" t="s">
        <v>248</v>
      </c>
      <c r="B117" s="587">
        <f>(VLOOKUP(A117,[1]!TOX,67,FALSE))*(SQRT((VLOOKUP(A117,[1]!TOX,57,FALSE)))/2.6)</f>
        <v>0.16198719906305845</v>
      </c>
      <c r="C117" s="596">
        <f>('GW-1 Exp'!$O$29^2)/(6*D117)</f>
        <v>0.89422899919975263</v>
      </c>
      <c r="D117" s="486">
        <f>10^(-2.8-(0.0056*(VLOOKUP(A117,[1]!TOX,57,FALSE))))*'GW-1 Exp'!$O$29</f>
        <v>1.8638029723462E-7</v>
      </c>
      <c r="E117" s="597">
        <f t="shared" si="5"/>
        <v>2.1461495980794063</v>
      </c>
      <c r="F117" s="597">
        <f>IF(B117&lt;=0.6,0,(G117-SQRT(G117^2-H117^2))*('GW-1 Exp'!$O$29^2/D117))</f>
        <v>0</v>
      </c>
      <c r="G117" s="582">
        <f t="shared" si="6"/>
        <v>0.41072099708637039</v>
      </c>
      <c r="H117" s="598">
        <f t="shared" si="7"/>
        <v>0.44885209189673941</v>
      </c>
      <c r="I117" s="606">
        <f>IF('GW-1 Exp'!$U$13&lt;=$E117,2*(VLOOKUP(A117,[1]!TOX,67,FALSE))*1*0.000001*SQRT(6*$C117*'GW-1 Exp'!$U$13/PI()),(VLOOKUP(A117,[1]!TOX,67,FALSE))*1*0.000001*('GW-1 Exp'!$U$13/(1+$B117)+2*$C117*(1+3*$B117+3*$B117^2)/(1+$B117)^2))</f>
        <v>6.5785486032262935E-8</v>
      </c>
      <c r="J117" s="607">
        <f>IF('GW-1 Exp'!$U$21&lt;=$E117,2*(VLOOKUP(A117,[1]!TOX,67,FALSE))*1*0.000001*SQRT(6*$C117*'GW-1 Exp'!$U$21/PI()),(VLOOKUP(A117,[1]!TOX,67,FALSE))*1*0.000001*('GW-1 Exp'!$U$21/(1+$B117)+2*$C117*(1+3*$B117+3*$B117^2)/(1+$B117)^2))</f>
        <v>7.4755545606474718E-8</v>
      </c>
      <c r="K117" s="482"/>
      <c r="L117" s="554">
        <v>1</v>
      </c>
      <c r="M117" s="481">
        <f t="shared" si="8"/>
        <v>6.5785486032262935E-8</v>
      </c>
      <c r="N117" s="483">
        <f t="shared" si="9"/>
        <v>7.4755545606474718E-8</v>
      </c>
      <c r="O117" s="486" t="str">
        <f>IF(VLOOKUP(A117,[1]!TOX,81,FALSE)="Y","Inorganic",IF(K117="*","Streamlined",IF($E117=0,"Reduced Steady State",IF('GW-1 Exp'!$U$13&lt;=$E117,"Non-Steady State","Steady State"))))</f>
        <v>Non-Steady State</v>
      </c>
      <c r="P117" s="485" t="str">
        <f>IF(VLOOKUP(A117,[1]!TOX,81,FALSE)="Y","Inorganic",IF(K117="*","Streamlined",IF($E117=0,0,IF('GW-1 Exp'!$U$21&lt;=$E117,"Non-Steady State","Steady State"))))</f>
        <v>Non-Steady State</v>
      </c>
      <c r="Q117" s="563">
        <f>IF(K117=0,0,IF((VLOOKUP(A117,[1]!TOX,67,FALSE))=0,0,IF((VLOOKUP(A117,[1]!TOX,67,FALSE))&lt;0.5,0.2,1)))</f>
        <v>0</v>
      </c>
      <c r="R117" s="614">
        <f>IF(K117=0,IF(M117=0,0,('[1]Target Risk'!$D$8*(VLOOKUP(A117,[1]!TOX,4,FALSE))*(VLOOKUP(A117,[1]!TOX,37,FALSE)))/('GW-1 Exp'!$V$13*'GW-1 Derm'!$M117)),('[1]Target Risk'!$D$8*(VLOOKUP(A117,[1]!TOX,4,FALSE))*(VLOOKUP(A117,[1]!TOX,37,FALSE)))/('GW-1 Exp'!$J$18*'GW-1 Derm'!$Q117))</f>
        <v>44.913766150967199</v>
      </c>
      <c r="S117" s="574">
        <f>IF(OR(VLOOKUP(A117,[1]!TOX,12,FALSE)=0,VLOOKUP(A117,[1]!TOX,38,FALSE)=0),0,IF(K117=0,('[1]Target Risk'!$D$12*(VLOOKUP(A117,[1]!TOX,38,FALSE)))/('GW-1 Exp'!$V$21*'GW-1 Derm'!N117*(VLOOKUP(A117,[1]!TOX,12,FALSE))),IF(Q117=0,0,('[1]Target Risk'!$D$12*(VLOOKUP(A117,[1]!TOX,38,FALSE)))/('GW-1 Exp'!$J$26*'GW-1 Derm'!Q117*(VLOOKUP(A117,[1]!TOX,12,FALSE))))))</f>
        <v>5.0013385437743176</v>
      </c>
      <c r="T117" s="575">
        <f>IF(OR(VLOOKUP(A117,[1]!TOX,12,FALSE)=0,VLOOKUP(A117,[1]!TOX,38,FALSE)=0),0,IF(NOT(VLOOKUP(A117,[1]!TOX,36,FALSE)="M"), IF(K117=0,('[1]Target Risk'!$D$12*(VLOOKUP(A117,[1]!TOX,38,FALSE)))/('GW-1 Exp'!$V$21*'GW-1 Derm'!N117*(VLOOKUP(A117,[1]!TOX,12,FALSE))),IF(Q117=0,0,('[1]Target Risk'!$D$12*(VLOOKUP(A117,[1]!TOX,38,FALSE)))/('GW-1 Exp'!$J$26*'GW-1 Derm'!Q117*(VLOOKUP(A117,[1]!TOX,12,FALSE))))), IF(K117=0,('[1]Target Risk'!$D$12*(VLOOKUP(A117,[1]!TOX,38,FALSE)))/(('GW-1 Exp'!$V$26*'GW-1 Derm'!AB117*(VLOOKUP(A117,[1]!TOX,12,FALSE))*10)+('GW-1 Exp'!$V$27*'GW-1 Derm'!AC117*(VLOOKUP(A117,[1]!TOX,12,FALSE))*3)+('GW-1 Exp'!$V$28*'GW-1 Derm'!AD117*(VLOOKUP(A117,[1]!TOX,12,FALSE))*3)+('GW-1 Exp'!$V$29*'GW-1 Derm'!AE117*(VLOOKUP(A117,[1]!TOX,12,FALSE))*1)),IF(Q117=0,0,(('[1]Target Risk'!$D$12*(VLOOKUP(A117,[1]!TOX,38,FALSE)))/(('GW-1 Exp'!$J$33*'GW-1 Derm'!Q117*(VLOOKUP(A117,[1]!TOX,12,FALSE))*10)+('GW-1 Exp'!$J$34*'GW-1 Derm'!Q117*(VLOOKUP(A117,[1]!TOX,12,FALSE))*3)+('GW-1 Exp'!$J$35*'GW-1 Derm'!Q117*(VLOOKUP(A117,[1]!TOX,12,FALSE))*3)+('GW-1 Exp'!$J$36*'GW-1 Derm'!Q117*(VLOOKUP(A117,[1]!TOX,12,FALSE))*1)))))))</f>
        <v>5.0013385437743176</v>
      </c>
      <c r="AB117" s="838">
        <f>L117*IF('GW-1 Exp'!U$26&lt;=$E117,2*(VLOOKUP(A117,[1]!TOX,67,FALSE))*1*0.000001*SQRT(6*$C117*'GW-1 Exp'!$U$26/PI()),(VLOOKUP(A117,[1]!TOX,67,FALSE))*1*0.000001*('GW-1 Exp'!$U$26/(1+$B117)+2*$C117*(1+3*$B117+3*$B117^2)/(1+$B117)^2))</f>
        <v>6.1412995479670805E-8</v>
      </c>
      <c r="AC117" s="837">
        <f>L117*IF('GW-1 Exp'!U$27&lt;=$E117,2*(VLOOKUP(A117,[1]!TOX,67,FALSE))*1*0.000001*SQRT(6*$C117*'GW-1 Exp'!$U$27/PI()),(VLOOKUP(A117,[1]!TOX,67,FALSE))*1*0.000001*('GW-1 Exp'!$U$27/(1+$B117)+2*$C117*(1+3*$B117+3*$B117^2)/(1+$B117)^2))</f>
        <v>6.6638600289097053E-8</v>
      </c>
      <c r="AD117" s="837">
        <f>L117*IF('GW-1 Exp'!U$28&lt;=$E117,2*(VLOOKUP(A117,[1]!TOX,67,FALSE))*1*0.000001*SQRT(6*$C117*'GW-1 Exp'!$U$28/PI()),(VLOOKUP(A117,[1]!TOX,67,FALSE))*1*0.000001*('GW-1 Exp'!$U$28/(1+$B117)+2*$C117*(1+3*$B117+3*$B117^2)/(1+$B117)^2))</f>
        <v>7.0195124028422866E-8</v>
      </c>
      <c r="AE117" s="839">
        <f>L117*IF('GW-1 Exp'!U$29&lt;=$E117,2*(VLOOKUP(A117,[1]!TOX,67,FALSE))*1*0.000001*SQRT(6*$C117*'GW-1 Exp'!$U$29/PI()),(VLOOKUP(A117,[1]!TOX,67,FALSE))*1*0.000001*('GW-1 Exp'!$U$29/(1+$B117)+2*$C117*(1+3*$B117+3*$B117^2)/(1+$B117)^2))</f>
        <v>8.1535386433684051E-8</v>
      </c>
    </row>
    <row r="118" spans="1:31" x14ac:dyDescent="0.25">
      <c r="A118" s="541" t="s">
        <v>249</v>
      </c>
      <c r="B118" s="587">
        <f>(VLOOKUP(A118,[1]!TOX,67,FALSE))*(SQRT((VLOOKUP(A118,[1]!TOX,57,FALSE)))/2.6)</f>
        <v>5.4934064834944998E-3</v>
      </c>
      <c r="C118" s="596">
        <f>('GW-1 Exp'!$O$29^2)/(6*D118)</f>
        <v>1.4596500605106157</v>
      </c>
      <c r="D118" s="486">
        <f>10^(-2.8-(0.0056*(VLOOKUP(A118,[1]!TOX,57,FALSE))))*'GW-1 Exp'!$O$29</f>
        <v>1.141826189548221E-7</v>
      </c>
      <c r="E118" s="597">
        <f t="shared" si="5"/>
        <v>3.5031601452254777</v>
      </c>
      <c r="F118" s="597">
        <f>IF(B118&lt;=0.6,0,(G118-SQRT(G118^2-H118^2))*('GW-1 Exp'!$O$29^2/D118))</f>
        <v>0</v>
      </c>
      <c r="G118" s="582">
        <f t="shared" si="6"/>
        <v>0.30662779780355781</v>
      </c>
      <c r="H118" s="598">
        <f t="shared" si="7"/>
        <v>0.33700560853671119</v>
      </c>
      <c r="I118" s="854">
        <f>(VLOOKUP(A118,[1]!TOX,67,FALSE))*1*0.000001*'GW-1 Exp'!$U$13</f>
        <v>5.9285714285714288E-10</v>
      </c>
      <c r="J118" s="855">
        <f>(VLOOKUP(A118,[1]!TOX,67,FALSE))*1*0.000001*'GW-1 Exp'!$U$21</f>
        <v>7.6555555555555563E-10</v>
      </c>
      <c r="K118" s="482"/>
      <c r="L118" s="554">
        <v>1</v>
      </c>
      <c r="M118" s="481">
        <f t="shared" si="8"/>
        <v>5.9285714285714288E-10</v>
      </c>
      <c r="N118" s="483">
        <f t="shared" si="9"/>
        <v>7.6555555555555563E-10</v>
      </c>
      <c r="O118" s="486" t="str">
        <f>IF(VLOOKUP(A118,[1]!TOX,81,FALSE)="Y","Inorganic",IF(K118="*","Streamlined",IF($E118=0,"Reduced Steady State",IF('GW-1 Exp'!$U$13&lt;=$E118,"Non-Steady State","Steady State"))))</f>
        <v>Inorganic</v>
      </c>
      <c r="P118" s="485" t="str">
        <f>IF(VLOOKUP(A118,[1]!TOX,81,FALSE)="Y","Inorganic",IF(K118="*","Streamlined",IF($E118=0,0,IF('GW-1 Exp'!$U$21&lt;=$E118,"Non-Steady State","Steady State"))))</f>
        <v>Inorganic</v>
      </c>
      <c r="Q118" s="563">
        <f>IF(K118=0,0,IF((VLOOKUP(A118,[1]!TOX,67,FALSE))=0,0,IF((VLOOKUP(A118,[1]!TOX,67,FALSE))&lt;0.5,0.2,1)))</f>
        <v>0</v>
      </c>
      <c r="R118" s="614">
        <f>IF(K118=0,IF(M118=0,0,('[1]Target Risk'!$D$8*(VLOOKUP(A118,[1]!TOX,4,FALSE))*(VLOOKUP(A118,[1]!TOX,37,FALSE)))/('GW-1 Exp'!$V$13*'GW-1 Derm'!$M118)),('[1]Target Risk'!$D$8*(VLOOKUP(A118,[1]!TOX,4,FALSE))*(VLOOKUP(A118,[1]!TOX,37,FALSE)))/('GW-1 Exp'!$J$18*'GW-1 Derm'!$Q118))</f>
        <v>66.450498154105802</v>
      </c>
      <c r="S118" s="574">
        <f>IF(OR(VLOOKUP(A118,[1]!TOX,12,FALSE)=0,VLOOKUP(A118,[1]!TOX,38,FALSE)=0),0,IF(K118=0,('[1]Target Risk'!$D$12*(VLOOKUP(A118,[1]!TOX,38,FALSE)))/('GW-1 Exp'!$V$21*'GW-1 Derm'!N118*(VLOOKUP(A118,[1]!TOX,12,FALSE))),IF(Q118=0,0,('[1]Target Risk'!$D$12*(VLOOKUP(A118,[1]!TOX,38,FALSE)))/('GW-1 Exp'!$J$26*'GW-1 Derm'!Q118*(VLOOKUP(A118,[1]!TOX,12,FALSE))))))</f>
        <v>0</v>
      </c>
      <c r="T118" s="575">
        <f>IF(OR(VLOOKUP(A118,[1]!TOX,12,FALSE)=0,VLOOKUP(A118,[1]!TOX,38,FALSE)=0),0,IF(NOT(VLOOKUP(A118,[1]!TOX,36,FALSE)="M"), IF(K118=0,('[1]Target Risk'!$D$12*(VLOOKUP(A118,[1]!TOX,38,FALSE)))/('GW-1 Exp'!$V$21*'GW-1 Derm'!N118*(VLOOKUP(A118,[1]!TOX,12,FALSE))),IF(Q118=0,0,('[1]Target Risk'!$D$12*(VLOOKUP(A118,[1]!TOX,38,FALSE)))/('GW-1 Exp'!$J$26*'GW-1 Derm'!Q118*(VLOOKUP(A118,[1]!TOX,12,FALSE))))), IF(K118=0,('[1]Target Risk'!$D$12*(VLOOKUP(A118,[1]!TOX,38,FALSE)))/(('GW-1 Exp'!$V$26*'GW-1 Derm'!AB118*(VLOOKUP(A118,[1]!TOX,12,FALSE))*10)+('GW-1 Exp'!$V$27*'GW-1 Derm'!AC118*(VLOOKUP(A118,[1]!TOX,12,FALSE))*3)+('GW-1 Exp'!$V$28*'GW-1 Derm'!AD118*(VLOOKUP(A118,[1]!TOX,12,FALSE))*3)+('GW-1 Exp'!$V$29*'GW-1 Derm'!AE118*(VLOOKUP(A118,[1]!TOX,12,FALSE))*1)),IF(Q118=0,0,(('[1]Target Risk'!$D$12*(VLOOKUP(A118,[1]!TOX,38,FALSE)))/(('GW-1 Exp'!$J$33*'GW-1 Derm'!Q118*(VLOOKUP(A118,[1]!TOX,12,FALSE))*10)+('GW-1 Exp'!$J$34*'GW-1 Derm'!Q118*(VLOOKUP(A118,[1]!TOX,12,FALSE))*3)+('GW-1 Exp'!$J$35*'GW-1 Derm'!Q118*(VLOOKUP(A118,[1]!TOX,12,FALSE))*3)+('GW-1 Exp'!$J$36*'GW-1 Derm'!Q118*(VLOOKUP(A118,[1]!TOX,12,FALSE))*1)))))))</f>
        <v>0</v>
      </c>
      <c r="AB118" s="838">
        <f>L118*IF('GW-1 Exp'!U$26&lt;=$E118,2*(VLOOKUP(A118,[1]!TOX,67,FALSE))*1*0.000001*SQRT(6*$C118*'GW-1 Exp'!$U$26/PI()),(VLOOKUP(A118,[1]!TOX,67,FALSE))*1*0.000001*('GW-1 Exp'!$U$26/(1+$B118)+2*$C118*(1+3*$B118+3*$B118^2)/(1+$B118)^2))</f>
        <v>2.4002710166569289E-9</v>
      </c>
      <c r="AC118" s="837">
        <f>L118*IF('GW-1 Exp'!U$27&lt;=$E118,2*(VLOOKUP(A118,[1]!TOX,67,FALSE))*1*0.000001*SQRT(6*$C118*'GW-1 Exp'!$U$27/PI()),(VLOOKUP(A118,[1]!TOX,67,FALSE))*1*0.000001*('GW-1 Exp'!$U$27/(1+$B118)+2*$C118*(1+3*$B118+3*$B118^2)/(1+$B118)^2))</f>
        <v>2.604509023134253E-9</v>
      </c>
      <c r="AD118" s="837">
        <f>L118*IF('GW-1 Exp'!U$28&lt;=$E118,2*(VLOOKUP(A118,[1]!TOX,67,FALSE))*1*0.000001*SQRT(6*$C118*'GW-1 Exp'!$U$28/PI()),(VLOOKUP(A118,[1]!TOX,67,FALSE))*1*0.000001*('GW-1 Exp'!$U$28/(1+$B118)+2*$C118*(1+3*$B118+3*$B118^2)/(1+$B118)^2))</f>
        <v>2.7435125155527571E-9</v>
      </c>
      <c r="AE118" s="839">
        <f>L118*IF('GW-1 Exp'!U$29&lt;=$E118,2*(VLOOKUP(A118,[1]!TOX,67,FALSE))*1*0.000001*SQRT(6*$C118*'GW-1 Exp'!$U$29/PI()),(VLOOKUP(A118,[1]!TOX,67,FALSE))*1*0.000001*('GW-1 Exp'!$U$29/(1+$B118)+2*$C118*(1+3*$B118+3*$B118^2)/(1+$B118)^2))</f>
        <v>3.1867363472520756E-9</v>
      </c>
    </row>
    <row r="119" spans="1:31" x14ac:dyDescent="0.25">
      <c r="A119" s="540" t="s">
        <v>250</v>
      </c>
      <c r="B119" s="587">
        <f>(VLOOKUP(A119,[1]!TOX,67,FALSE))*(SQRT((VLOOKUP(A119,[1]!TOX,57,FALSE)))/2.6)</f>
        <v>0.11311509529030062</v>
      </c>
      <c r="C119" s="596">
        <f>('GW-1 Exp'!$O$29^2)/(6*D119)</f>
        <v>0.34438858626074714</v>
      </c>
      <c r="D119" s="486">
        <f>10^(-2.8-(0.0056*(VLOOKUP(A119,[1]!TOX,57,FALSE))))*'GW-1 Exp'!$O$29</f>
        <v>4.8394944930166247E-7</v>
      </c>
      <c r="E119" s="597">
        <f t="shared" si="5"/>
        <v>0.82653260702579312</v>
      </c>
      <c r="F119" s="597">
        <f>IF(B119&lt;=0.6,0,(G119-SQRT(G119^2-H119^2))*('GW-1 Exp'!$O$29^2/D119))</f>
        <v>0</v>
      </c>
      <c r="G119" s="582">
        <f t="shared" si="6"/>
        <v>0.37621295688068174</v>
      </c>
      <c r="H119" s="598">
        <f t="shared" si="7"/>
        <v>0.4125749936814907</v>
      </c>
      <c r="I119" s="606">
        <f>IF('GW-1 Exp'!$U$13&lt;=$E119,2*(VLOOKUP(A119,[1]!TOX,67,FALSE))*1*0.000001*SQRT(6*$C119*'GW-1 Exp'!$U$13/PI()),(VLOOKUP(A119,[1]!TOX,67,FALSE))*1*0.000001*('GW-1 Exp'!$U$13/(1+$B119)+2*$C119*(1+3*$B119+3*$B119^2)/(1+$B119)^2))</f>
        <v>3.8293943102000975E-8</v>
      </c>
      <c r="J119" s="607">
        <f>IF('GW-1 Exp'!$U$21&lt;=$E119,2*(VLOOKUP(A119,[1]!TOX,67,FALSE))*1*0.000001*SQRT(6*$C119*'GW-1 Exp'!$U$21/PI()),(VLOOKUP(A119,[1]!TOX,67,FALSE))*1*0.000001*('GW-1 Exp'!$U$21/(1+$B119)+2*$C119*(1+3*$B119+3*$B119^2)/(1+$B119)^2))</f>
        <v>4.3515443643746054E-8</v>
      </c>
      <c r="K119" s="482"/>
      <c r="L119" s="554">
        <v>1</v>
      </c>
      <c r="M119" s="481">
        <f t="shared" si="8"/>
        <v>3.8293943102000975E-8</v>
      </c>
      <c r="N119" s="483">
        <f t="shared" si="9"/>
        <v>4.3515443643746054E-8</v>
      </c>
      <c r="O119" s="486" t="str">
        <f>IF(VLOOKUP(A119,[1]!TOX,81,FALSE)="Y","Inorganic",IF(K119="*","Streamlined",IF($E119=0,"Reduced Steady State",IF('GW-1 Exp'!$U$13&lt;=$E119,"Non-Steady State","Steady State"))))</f>
        <v>Non-Steady State</v>
      </c>
      <c r="P119" s="485" t="str">
        <f>IF(VLOOKUP(A119,[1]!TOX,81,FALSE)="Y","Inorganic",IF(K119="*","Streamlined",IF($E119=0,0,IF('GW-1 Exp'!$U$21&lt;=$E119,"Non-Steady State","Steady State"))))</f>
        <v>Non-Steady State</v>
      </c>
      <c r="Q119" s="563">
        <f>IF(K119=0,0,IF((VLOOKUP(A119,[1]!TOX,67,FALSE))=0,0,IF((VLOOKUP(A119,[1]!TOX,67,FALSE))&lt;0.5,0.2,1)))</f>
        <v>0</v>
      </c>
      <c r="R119" s="614">
        <f>IF(K119=0,IF(M119=0,0,('[1]Target Risk'!$D$8*(VLOOKUP(A119,[1]!TOX,4,FALSE))*(VLOOKUP(A119,[1]!TOX,37,FALSE)))/('GW-1 Exp'!$V$13*'GW-1 Derm'!$M119)),('[1]Target Risk'!$D$8*(VLOOKUP(A119,[1]!TOX,4,FALSE))*(VLOOKUP(A119,[1]!TOX,37,FALSE)))/('GW-1 Exp'!$J$18*'GW-1 Derm'!$Q119))</f>
        <v>1028.7698075944149</v>
      </c>
      <c r="S119" s="574">
        <f>IF(OR(VLOOKUP(A119,[1]!TOX,12,FALSE)=0,VLOOKUP(A119,[1]!TOX,38,FALSE)=0),0,IF(K119=0,('[1]Target Risk'!$D$12*(VLOOKUP(A119,[1]!TOX,38,FALSE)))/('GW-1 Exp'!$V$21*'GW-1 Derm'!N119*(VLOOKUP(A119,[1]!TOX,12,FALSE))),IF(Q119=0,0,('[1]Target Risk'!$D$12*(VLOOKUP(A119,[1]!TOX,38,FALSE)))/('GW-1 Exp'!$J$26*'GW-1 Derm'!Q119*(VLOOKUP(A119,[1]!TOX,12,FALSE))))))</f>
        <v>0</v>
      </c>
      <c r="T119" s="575">
        <f>IF(OR(VLOOKUP(A119,[1]!TOX,12,FALSE)=0,VLOOKUP(A119,[1]!TOX,38,FALSE)=0),0,IF(NOT(VLOOKUP(A119,[1]!TOX,36,FALSE)="M"), IF(K119=0,('[1]Target Risk'!$D$12*(VLOOKUP(A119,[1]!TOX,38,FALSE)))/('GW-1 Exp'!$V$21*'GW-1 Derm'!N119*(VLOOKUP(A119,[1]!TOX,12,FALSE))),IF(Q119=0,0,('[1]Target Risk'!$D$12*(VLOOKUP(A119,[1]!TOX,38,FALSE)))/('GW-1 Exp'!$J$26*'GW-1 Derm'!Q119*(VLOOKUP(A119,[1]!TOX,12,FALSE))))), IF(K119=0,('[1]Target Risk'!$D$12*(VLOOKUP(A119,[1]!TOX,38,FALSE)))/(('GW-1 Exp'!$V$26*'GW-1 Derm'!AB119*(VLOOKUP(A119,[1]!TOX,12,FALSE))*10)+('GW-1 Exp'!$V$27*'GW-1 Derm'!AC119*(VLOOKUP(A119,[1]!TOX,12,FALSE))*3)+('GW-1 Exp'!$V$28*'GW-1 Derm'!AD119*(VLOOKUP(A119,[1]!TOX,12,FALSE))*3)+('GW-1 Exp'!$V$29*'GW-1 Derm'!AE119*(VLOOKUP(A119,[1]!TOX,12,FALSE))*1)),IF(Q119=0,0,(('[1]Target Risk'!$D$12*(VLOOKUP(A119,[1]!TOX,38,FALSE)))/(('GW-1 Exp'!$J$33*'GW-1 Derm'!Q119*(VLOOKUP(A119,[1]!TOX,12,FALSE))*10)+('GW-1 Exp'!$J$34*'GW-1 Derm'!Q119*(VLOOKUP(A119,[1]!TOX,12,FALSE))*3)+('GW-1 Exp'!$J$35*'GW-1 Derm'!Q119*(VLOOKUP(A119,[1]!TOX,12,FALSE))*3)+('GW-1 Exp'!$J$36*'GW-1 Derm'!Q119*(VLOOKUP(A119,[1]!TOX,12,FALSE))*1)))))))</f>
        <v>0</v>
      </c>
      <c r="AB119" s="838">
        <f>L119*IF('GW-1 Exp'!U$26&lt;=$E119,2*(VLOOKUP(A119,[1]!TOX,67,FALSE))*1*0.000001*SQRT(6*$C119*'GW-1 Exp'!$U$26/PI()),(VLOOKUP(A119,[1]!TOX,67,FALSE))*1*0.000001*('GW-1 Exp'!$U$26/(1+$B119)+2*$C119*(1+3*$B119+3*$B119^2)/(1+$B119)^2))</f>
        <v>3.5748702281664358E-8</v>
      </c>
      <c r="AC119" s="837">
        <f>L119*IF('GW-1 Exp'!U$27&lt;=$E119,2*(VLOOKUP(A119,[1]!TOX,67,FALSE))*1*0.000001*SQRT(6*$C119*'GW-1 Exp'!$U$27/PI()),(VLOOKUP(A119,[1]!TOX,67,FALSE))*1*0.000001*('GW-1 Exp'!$U$27/(1+$B119)+2*$C119*(1+3*$B119+3*$B119^2)/(1+$B119)^2))</f>
        <v>3.8790543656030323E-8</v>
      </c>
      <c r="AD119" s="837">
        <f>L119*IF('GW-1 Exp'!U$28&lt;=$E119,2*(VLOOKUP(A119,[1]!TOX,67,FALSE))*1*0.000001*SQRT(6*$C119*'GW-1 Exp'!$U$28/PI()),(VLOOKUP(A119,[1]!TOX,67,FALSE))*1*0.000001*('GW-1 Exp'!$U$28/(1+$B119)+2*$C119*(1+3*$B119+3*$B119^2)/(1+$B119)^2))</f>
        <v>4.0860807568770361E-8</v>
      </c>
      <c r="AE119" s="839">
        <f>L119*IF('GW-1 Exp'!U$29&lt;=$E119,2*(VLOOKUP(A119,[1]!TOX,67,FALSE))*1*0.000001*SQRT(6*$C119*'GW-1 Exp'!$U$29/PI()),(VLOOKUP(A119,[1]!TOX,67,FALSE))*1*0.000001*('GW-1 Exp'!$U$29/(1+$B119)+2*$C119*(1+3*$B119+3*$B119^2)/(1+$B119)^2))</f>
        <v>4.857011591859725E-8</v>
      </c>
    </row>
    <row r="120" spans="1:31" x14ac:dyDescent="0.25">
      <c r="A120" s="540" t="s">
        <v>251</v>
      </c>
      <c r="B120" s="587">
        <f>(VLOOKUP(A120,[1]!TOX,67,FALSE))*(SQRT((VLOOKUP(A120,[1]!TOX,57,FALSE)))/2.6)</f>
        <v>0.35765634946077718</v>
      </c>
      <c r="C120" s="596">
        <f>('GW-1 Exp'!$O$29^2)/(6*D120)</f>
        <v>1.085047497391437</v>
      </c>
      <c r="D120" s="486">
        <f>10^(-2.8-(0.0056*(VLOOKUP(A120,[1]!TOX,57,FALSE))))*'GW-1 Exp'!$O$29</f>
        <v>1.5360310683850249E-7</v>
      </c>
      <c r="E120" s="597">
        <f t="shared" si="5"/>
        <v>2.6041139937394489</v>
      </c>
      <c r="F120" s="597">
        <f>IF(B120&lt;=0.6,0,(G120-SQRT(G120^2-H120^2))*('GW-1 Exp'!$O$29^2/D120))</f>
        <v>0</v>
      </c>
      <c r="G120" s="582">
        <f t="shared" si="6"/>
        <v>0.57025966041659337</v>
      </c>
      <c r="H120" s="598">
        <f t="shared" si="7"/>
        <v>0.60317748849255348</v>
      </c>
      <c r="I120" s="606">
        <f>IF('GW-1 Exp'!$U$13&lt;=$E120,2*(VLOOKUP(A120,[1]!TOX,67,FALSE))*1*0.000001*SQRT(6*$C120*'GW-1 Exp'!$U$13/PI()),(VLOOKUP(A120,[1]!TOX,67,FALSE))*1*0.000001*('GW-1 Exp'!$U$13/(1+$B120)+2*$C120*(1+3*$B120+3*$B120^2)/(1+$B120)^2))</f>
        <v>1.5322516146229586E-7</v>
      </c>
      <c r="J120" s="607">
        <f>IF('GW-1 Exp'!$U$21&lt;=$E120,2*(VLOOKUP(A120,[1]!TOX,67,FALSE))*1*0.000001*SQRT(6*$C120*'GW-1 Exp'!$U$21/PI()),(VLOOKUP(A120,[1]!TOX,67,FALSE))*1*0.000001*('GW-1 Exp'!$U$21/(1+$B120)+2*$C120*(1+3*$B120+3*$B120^2)/(1+$B120)^2))</f>
        <v>1.7411789798340249E-7</v>
      </c>
      <c r="K120" s="482"/>
      <c r="L120" s="554">
        <v>1</v>
      </c>
      <c r="M120" s="481">
        <f t="shared" si="8"/>
        <v>1.5322516146229586E-7</v>
      </c>
      <c r="N120" s="483">
        <f t="shared" si="9"/>
        <v>1.7411789798340249E-7</v>
      </c>
      <c r="O120" s="486" t="str">
        <f>IF(VLOOKUP(A120,[1]!TOX,81,FALSE)="Y","Inorganic",IF(K120="*","Streamlined",IF($E120=0,"Reduced Steady State",IF('GW-1 Exp'!$U$13&lt;=$E120,"Non-Steady State","Steady State"))))</f>
        <v>Non-Steady State</v>
      </c>
      <c r="P120" s="485" t="str">
        <f>IF(VLOOKUP(A120,[1]!TOX,81,FALSE)="Y","Inorganic",IF(K120="*","Streamlined",IF($E120=0,0,IF('GW-1 Exp'!$U$21&lt;=$E120,"Non-Steady State","Steady State"))))</f>
        <v>Non-Steady State</v>
      </c>
      <c r="Q120" s="563">
        <f>IF(K120=0,0,IF((VLOOKUP(A120,[1]!TOX,67,FALSE))=0,0,IF((VLOOKUP(A120,[1]!TOX,67,FALSE))&lt;0.5,0.2,1)))</f>
        <v>0</v>
      </c>
      <c r="R120" s="614">
        <f>IF(K120=0,IF(M120=0,0,('[1]Target Risk'!$D$8*(VLOOKUP(A120,[1]!TOX,4,FALSE))*(VLOOKUP(A120,[1]!TOX,37,FALSE)))/('GW-1 Exp'!$V$13*'GW-1 Derm'!$M120)),('[1]Target Risk'!$D$8*(VLOOKUP(A120,[1]!TOX,4,FALSE))*(VLOOKUP(A120,[1]!TOX,37,FALSE)))/('GW-1 Exp'!$J$18*'GW-1 Derm'!$Q120))</f>
        <v>32.13869388446615</v>
      </c>
      <c r="S120" s="574">
        <f>IF(OR(VLOOKUP(A120,[1]!TOX,12,FALSE)=0,VLOOKUP(A120,[1]!TOX,38,FALSE)=0),0,IF(K120=0,('[1]Target Risk'!$D$12*(VLOOKUP(A120,[1]!TOX,38,FALSE)))/('GW-1 Exp'!$V$21*'GW-1 Derm'!N120*(VLOOKUP(A120,[1]!TOX,12,FALSE))),IF(Q120=0,0,('[1]Target Risk'!$D$12*(VLOOKUP(A120,[1]!TOX,38,FALSE)))/('GW-1 Exp'!$J$26*'GW-1 Derm'!Q120*(VLOOKUP(A120,[1]!TOX,12,FALSE))))))</f>
        <v>0</v>
      </c>
      <c r="T120" s="575">
        <f>IF(OR(VLOOKUP(A120,[1]!TOX,12,FALSE)=0,VLOOKUP(A120,[1]!TOX,38,FALSE)=0),0,IF(NOT(VLOOKUP(A120,[1]!TOX,36,FALSE)="M"), IF(K120=0,('[1]Target Risk'!$D$12*(VLOOKUP(A120,[1]!TOX,38,FALSE)))/('GW-1 Exp'!$V$21*'GW-1 Derm'!N120*(VLOOKUP(A120,[1]!TOX,12,FALSE))),IF(Q120=0,0,('[1]Target Risk'!$D$12*(VLOOKUP(A120,[1]!TOX,38,FALSE)))/('GW-1 Exp'!$J$26*'GW-1 Derm'!Q120*(VLOOKUP(A120,[1]!TOX,12,FALSE))))), IF(K120=0,('[1]Target Risk'!$D$12*(VLOOKUP(A120,[1]!TOX,38,FALSE)))/(('GW-1 Exp'!$V$26*'GW-1 Derm'!AB120*(VLOOKUP(A120,[1]!TOX,12,FALSE))*10)+('GW-1 Exp'!$V$27*'GW-1 Derm'!AC120*(VLOOKUP(A120,[1]!TOX,12,FALSE))*3)+('GW-1 Exp'!$V$28*'GW-1 Derm'!AD120*(VLOOKUP(A120,[1]!TOX,12,FALSE))*3)+('GW-1 Exp'!$V$29*'GW-1 Derm'!AE120*(VLOOKUP(A120,[1]!TOX,12,FALSE))*1)),IF(Q120=0,0,(('[1]Target Risk'!$D$12*(VLOOKUP(A120,[1]!TOX,38,FALSE)))/(('GW-1 Exp'!$J$33*'GW-1 Derm'!Q120*(VLOOKUP(A120,[1]!TOX,12,FALSE))*10)+('GW-1 Exp'!$J$34*'GW-1 Derm'!Q120*(VLOOKUP(A120,[1]!TOX,12,FALSE))*3)+('GW-1 Exp'!$J$35*'GW-1 Derm'!Q120*(VLOOKUP(A120,[1]!TOX,12,FALSE))*3)+('GW-1 Exp'!$J$36*'GW-1 Derm'!Q120*(VLOOKUP(A120,[1]!TOX,12,FALSE))*1)))))))</f>
        <v>0</v>
      </c>
      <c r="AB120" s="838">
        <f>L120*IF('GW-1 Exp'!U$26&lt;=$E120,2*(VLOOKUP(A120,[1]!TOX,67,FALSE))*1*0.000001*SQRT(6*$C120*'GW-1 Exp'!$U$26/PI()),(VLOOKUP(A120,[1]!TOX,67,FALSE))*1*0.000001*('GW-1 Exp'!$U$26/(1+$B120)+2*$C120*(1+3*$B120+3*$B120^2)/(1+$B120)^2))</f>
        <v>1.4304091549374408E-7</v>
      </c>
      <c r="AC120" s="837">
        <f>L120*IF('GW-1 Exp'!U$27&lt;=$E120,2*(VLOOKUP(A120,[1]!TOX,67,FALSE))*1*0.000001*SQRT(6*$C120*'GW-1 Exp'!$U$27/PI()),(VLOOKUP(A120,[1]!TOX,67,FALSE))*1*0.000001*('GW-1 Exp'!$U$27/(1+$B120)+2*$C120*(1+3*$B120+3*$B120^2)/(1+$B120)^2))</f>
        <v>1.5521220416173088E-7</v>
      </c>
      <c r="AD120" s="837">
        <f>L120*IF('GW-1 Exp'!U$28&lt;=$E120,2*(VLOOKUP(A120,[1]!TOX,67,FALSE))*1*0.000001*SQRT(6*$C120*'GW-1 Exp'!$U$28/PI()),(VLOOKUP(A120,[1]!TOX,67,FALSE))*1*0.000001*('GW-1 Exp'!$U$28/(1+$B120)+2*$C120*(1+3*$B120+3*$B120^2)/(1+$B120)^2))</f>
        <v>1.6349592990536115E-7</v>
      </c>
      <c r="AE120" s="839">
        <f>L120*IF('GW-1 Exp'!U$29&lt;=$E120,2*(VLOOKUP(A120,[1]!TOX,67,FALSE))*1*0.000001*SQRT(6*$C120*'GW-1 Exp'!$U$29/PI()),(VLOOKUP(A120,[1]!TOX,67,FALSE))*1*0.000001*('GW-1 Exp'!$U$29/(1+$B120)+2*$C120*(1+3*$B120+3*$B120^2)/(1+$B120)^2))</f>
        <v>1.8990925665677827E-7</v>
      </c>
    </row>
    <row r="121" spans="1:31" x14ac:dyDescent="0.25">
      <c r="A121" s="540" t="s">
        <v>252</v>
      </c>
      <c r="B121" s="587">
        <f>(VLOOKUP(A121,[1]!TOX,67,FALSE))*(SQRT((VLOOKUP(A121,[1]!TOX,57,FALSE)))/2.6)</f>
        <v>5.5661188139331873E-2</v>
      </c>
      <c r="C121" s="596">
        <f>('GW-1 Exp'!$O$29^2)/(6*D121)</f>
        <v>0.58431730655435543</v>
      </c>
      <c r="D121" s="486">
        <f>10^(-2.8-(0.0056*(VLOOKUP(A121,[1]!TOX,57,FALSE))))*'GW-1 Exp'!$O$29</f>
        <v>2.8523315122990064E-7</v>
      </c>
      <c r="E121" s="597">
        <f t="shared" si="5"/>
        <v>1.4023615357304531</v>
      </c>
      <c r="F121" s="597">
        <f>IF(B121&lt;=0.6,0,(G121-SQRT(G121^2-H121^2))*('GW-1 Exp'!$O$29^2/D121))</f>
        <v>0</v>
      </c>
      <c r="G121" s="582">
        <f t="shared" si="6"/>
        <v>0.33804309014063866</v>
      </c>
      <c r="H121" s="598">
        <f t="shared" si="7"/>
        <v>0.37141906299390898</v>
      </c>
      <c r="I121" s="606">
        <f>IF('GW-1 Exp'!$U$13&lt;=$E121,2*(VLOOKUP(A121,[1]!TOX,67,FALSE))*1*0.000001*SQRT(6*$C121*'GW-1 Exp'!$U$13/PI()),(VLOOKUP(A121,[1]!TOX,67,FALSE))*1*0.000001*('GW-1 Exp'!$U$13/(1+$B121)+2*$C121*(1+3*$B121+3*$B121^2)/(1+$B121)^2))</f>
        <v>2.0414092939895389E-8</v>
      </c>
      <c r="J121" s="607">
        <f>IF('GW-1 Exp'!$U$21&lt;=$E121,2*(VLOOKUP(A121,[1]!TOX,67,FALSE))*1*0.000001*SQRT(6*$C121*'GW-1 Exp'!$U$21/PI()),(VLOOKUP(A121,[1]!TOX,67,FALSE))*1*0.000001*('GW-1 Exp'!$U$21/(1+$B121)+2*$C121*(1+3*$B121+3*$B121^2)/(1+$B121)^2))</f>
        <v>2.3197619229182857E-8</v>
      </c>
      <c r="K121" s="482"/>
      <c r="L121" s="554">
        <v>1</v>
      </c>
      <c r="M121" s="481">
        <f t="shared" si="8"/>
        <v>2.0414092939895389E-8</v>
      </c>
      <c r="N121" s="483">
        <f t="shared" si="9"/>
        <v>2.3197619229182857E-8</v>
      </c>
      <c r="O121" s="486" t="str">
        <f>IF(VLOOKUP(A121,[1]!TOX,81,FALSE)="Y","Inorganic",IF(K121="*","Streamlined",IF($E121=0,"Reduced Steady State",IF('GW-1 Exp'!$U$13&lt;=$E121,"Non-Steady State","Steady State"))))</f>
        <v>Non-Steady State</v>
      </c>
      <c r="P121" s="485" t="str">
        <f>IF(VLOOKUP(A121,[1]!TOX,81,FALSE)="Y","Inorganic",IF(K121="*","Streamlined",IF($E121=0,0,IF('GW-1 Exp'!$U$21&lt;=$E121,"Non-Steady State","Steady State"))))</f>
        <v>Non-Steady State</v>
      </c>
      <c r="Q121" s="563">
        <f>IF(K121=0,0,IF((VLOOKUP(A121,[1]!TOX,67,FALSE))=0,0,IF((VLOOKUP(A121,[1]!TOX,67,FALSE))&lt;0.5,0.2,1)))</f>
        <v>0</v>
      </c>
      <c r="R121" s="614">
        <f>IF(K121=0,IF(M121=0,0,('[1]Target Risk'!$D$8*(VLOOKUP(A121,[1]!TOX,4,FALSE))*(VLOOKUP(A121,[1]!TOX,37,FALSE)))/('GW-1 Exp'!$V$13*'GW-1 Derm'!$M121)),('[1]Target Risk'!$D$8*(VLOOKUP(A121,[1]!TOX,4,FALSE))*(VLOOKUP(A121,[1]!TOX,37,FALSE)))/('GW-1 Exp'!$J$18*'GW-1 Derm'!$Q121))</f>
        <v>48245.656313347441</v>
      </c>
      <c r="S121" s="574">
        <f>IF(OR(VLOOKUP(A121,[1]!TOX,12,FALSE)=0,VLOOKUP(A121,[1]!TOX,38,FALSE)=0),0,IF(K121=0,('[1]Target Risk'!$D$12*(VLOOKUP(A121,[1]!TOX,38,FALSE)))/('GW-1 Exp'!$V$21*'GW-1 Derm'!N121*(VLOOKUP(A121,[1]!TOX,12,FALSE))),IF(Q121=0,0,('[1]Target Risk'!$D$12*(VLOOKUP(A121,[1]!TOX,38,FALSE)))/('GW-1 Exp'!$J$26*'GW-1 Derm'!Q121*(VLOOKUP(A121,[1]!TOX,12,FALSE))))))</f>
        <v>0</v>
      </c>
      <c r="T121" s="575">
        <f>IF(OR(VLOOKUP(A121,[1]!TOX,12,FALSE)=0,VLOOKUP(A121,[1]!TOX,38,FALSE)=0),0,IF(NOT(VLOOKUP(A121,[1]!TOX,36,FALSE)="M"), IF(K121=0,('[1]Target Risk'!$D$12*(VLOOKUP(A121,[1]!TOX,38,FALSE)))/('GW-1 Exp'!$V$21*'GW-1 Derm'!N121*(VLOOKUP(A121,[1]!TOX,12,FALSE))),IF(Q121=0,0,('[1]Target Risk'!$D$12*(VLOOKUP(A121,[1]!TOX,38,FALSE)))/('GW-1 Exp'!$J$26*'GW-1 Derm'!Q121*(VLOOKUP(A121,[1]!TOX,12,FALSE))))), IF(K121=0,('[1]Target Risk'!$D$12*(VLOOKUP(A121,[1]!TOX,38,FALSE)))/(('GW-1 Exp'!$V$26*'GW-1 Derm'!AB121*(VLOOKUP(A121,[1]!TOX,12,FALSE))*10)+('GW-1 Exp'!$V$27*'GW-1 Derm'!AC121*(VLOOKUP(A121,[1]!TOX,12,FALSE))*3)+('GW-1 Exp'!$V$28*'GW-1 Derm'!AD121*(VLOOKUP(A121,[1]!TOX,12,FALSE))*3)+('GW-1 Exp'!$V$29*'GW-1 Derm'!AE121*(VLOOKUP(A121,[1]!TOX,12,FALSE))*1)),IF(Q121=0,0,(('[1]Target Risk'!$D$12*(VLOOKUP(A121,[1]!TOX,38,FALSE)))/(('GW-1 Exp'!$J$33*'GW-1 Derm'!Q121*(VLOOKUP(A121,[1]!TOX,12,FALSE))*10)+('GW-1 Exp'!$J$34*'GW-1 Derm'!Q121*(VLOOKUP(A121,[1]!TOX,12,FALSE))*3)+('GW-1 Exp'!$J$35*'GW-1 Derm'!Q121*(VLOOKUP(A121,[1]!TOX,12,FALSE))*3)+('GW-1 Exp'!$J$36*'GW-1 Derm'!Q121*(VLOOKUP(A121,[1]!TOX,12,FALSE))*1)))))))</f>
        <v>0</v>
      </c>
      <c r="AB121" s="838">
        <f>L121*IF('GW-1 Exp'!U$26&lt;=$E121,2*(VLOOKUP(A121,[1]!TOX,67,FALSE))*1*0.000001*SQRT(6*$C121*'GW-1 Exp'!$U$26/PI()),(VLOOKUP(A121,[1]!TOX,67,FALSE))*1*0.000001*('GW-1 Exp'!$U$26/(1+$B121)+2*$C121*(1+3*$B121+3*$B121^2)/(1+$B121)^2))</f>
        <v>1.9057252185148138E-8</v>
      </c>
      <c r="AC121" s="837">
        <f>L121*IF('GW-1 Exp'!U$27&lt;=$E121,2*(VLOOKUP(A121,[1]!TOX,67,FALSE))*1*0.000001*SQRT(6*$C121*'GW-1 Exp'!$U$27/PI()),(VLOOKUP(A121,[1]!TOX,67,FALSE))*1*0.000001*('GW-1 Exp'!$U$27/(1+$B121)+2*$C121*(1+3*$B121+3*$B121^2)/(1+$B121)^2))</f>
        <v>2.0678825402597274E-8</v>
      </c>
      <c r="AD121" s="837">
        <f>L121*IF('GW-1 Exp'!U$28&lt;=$E121,2*(VLOOKUP(A121,[1]!TOX,67,FALSE))*1*0.000001*SQRT(6*$C121*'GW-1 Exp'!$U$28/PI()),(VLOOKUP(A121,[1]!TOX,67,FALSE))*1*0.000001*('GW-1 Exp'!$U$28/(1+$B121)+2*$C121*(1+3*$B121+3*$B121^2)/(1+$B121)^2))</f>
        <v>2.1782461030096246E-8</v>
      </c>
      <c r="AE121" s="839">
        <f>L121*IF('GW-1 Exp'!U$29&lt;=$E121,2*(VLOOKUP(A121,[1]!TOX,67,FALSE))*1*0.000001*SQRT(6*$C121*'GW-1 Exp'!$U$29/PI()),(VLOOKUP(A121,[1]!TOX,67,FALSE))*1*0.000001*('GW-1 Exp'!$U$29/(1+$B121)+2*$C121*(1+3*$B121+3*$B121^2)/(1+$B121)^2))</f>
        <v>2.5301492121396065E-8</v>
      </c>
    </row>
    <row r="122" spans="1:31" x14ac:dyDescent="0.25">
      <c r="A122" s="540" t="s">
        <v>253</v>
      </c>
      <c r="B122" s="587">
        <f>(VLOOKUP(A122,[1]!TOX,67,FALSE))*(SQRT((VLOOKUP(A122,[1]!TOX,57,FALSE)))/2.6)</f>
        <v>2.2364153915317563E-2</v>
      </c>
      <c r="C122" s="596">
        <f>('GW-1 Exp'!$O$29^2)/(6*D122)</f>
        <v>0.58431730655435543</v>
      </c>
      <c r="D122" s="486">
        <f>10^(-2.8-(0.0056*(VLOOKUP(A122,[1]!TOX,57,FALSE))))*'GW-1 Exp'!$O$29</f>
        <v>2.8523315122990064E-7</v>
      </c>
      <c r="E122" s="597">
        <f t="shared" si="5"/>
        <v>1.4023615357304531</v>
      </c>
      <c r="F122" s="597">
        <f>IF(B122&lt;=0.6,0,(G122-SQRT(G122^2-H122^2))*('GW-1 Exp'!$O$29^2/D122))</f>
        <v>0</v>
      </c>
      <c r="G122" s="582">
        <f t="shared" si="6"/>
        <v>0.31700726554071135</v>
      </c>
      <c r="H122" s="598">
        <f t="shared" si="7"/>
        <v>0.34840584078078185</v>
      </c>
      <c r="I122" s="606">
        <f>IF('GW-1 Exp'!$U$13&lt;=$E122,2*(VLOOKUP(A122,[1]!TOX,67,FALSE))*1*0.000001*SQRT(6*$C122*'GW-1 Exp'!$U$13/PI()),(VLOOKUP(A122,[1]!TOX,67,FALSE))*1*0.000001*('GW-1 Exp'!$U$13/(1+$B122)+2*$C122*(1+3*$B122+3*$B122^2)/(1+$B122)^2))</f>
        <v>8.2021949550661931E-9</v>
      </c>
      <c r="J122" s="607">
        <f>IF('GW-1 Exp'!$U$21&lt;=$E122,2*(VLOOKUP(A122,[1]!TOX,67,FALSE))*1*0.000001*SQRT(6*$C122*'GW-1 Exp'!$U$21/PI()),(VLOOKUP(A122,[1]!TOX,67,FALSE))*1*0.000001*('GW-1 Exp'!$U$21/(1+$B122)+2*$C122*(1+3*$B122+3*$B122^2)/(1+$B122)^2))</f>
        <v>9.3205902398583459E-9</v>
      </c>
      <c r="K122" s="482"/>
      <c r="L122" s="554">
        <v>1</v>
      </c>
      <c r="M122" s="481">
        <f t="shared" si="8"/>
        <v>8.2021949550661931E-9</v>
      </c>
      <c r="N122" s="483">
        <f t="shared" si="9"/>
        <v>9.3205902398583459E-9</v>
      </c>
      <c r="O122" s="486" t="str">
        <f>IF(VLOOKUP(A122,[1]!TOX,81,FALSE)="Y","Inorganic",IF(K122="*","Streamlined",IF($E122=0,"Reduced Steady State",IF('GW-1 Exp'!$U$13&lt;=$E122,"Non-Steady State","Steady State"))))</f>
        <v>Non-Steady State</v>
      </c>
      <c r="P122" s="485" t="str">
        <f>IF(VLOOKUP(A122,[1]!TOX,81,FALSE)="Y","Inorganic",IF(K122="*","Streamlined",IF($E122=0,0,IF('GW-1 Exp'!$U$21&lt;=$E122,"Non-Steady State","Steady State"))))</f>
        <v>Non-Steady State</v>
      </c>
      <c r="Q122" s="563">
        <f>IF(K122=0,0,IF((VLOOKUP(A122,[1]!TOX,67,FALSE))=0,0,IF((VLOOKUP(A122,[1]!TOX,67,FALSE))&lt;0.5,0.2,1)))</f>
        <v>0</v>
      </c>
      <c r="R122" s="614">
        <f>IF(K122=0,IF(M122=0,0,('[1]Target Risk'!$D$8*(VLOOKUP(A122,[1]!TOX,4,FALSE))*(VLOOKUP(A122,[1]!TOX,37,FALSE)))/('GW-1 Exp'!$V$13*'GW-1 Derm'!$M122)),('[1]Target Risk'!$D$8*(VLOOKUP(A122,[1]!TOX,4,FALSE))*(VLOOKUP(A122,[1]!TOX,37,FALSE)))/('GW-1 Exp'!$J$18*'GW-1 Derm'!$Q122))</f>
        <v>240.15310958162348</v>
      </c>
      <c r="S122" s="574">
        <f>IF(OR(VLOOKUP(A122,[1]!TOX,12,FALSE)=0,VLOOKUP(A122,[1]!TOX,38,FALSE)=0),0,IF(K122=0,('[1]Target Risk'!$D$12*(VLOOKUP(A122,[1]!TOX,38,FALSE)))/('GW-1 Exp'!$V$21*'GW-1 Derm'!N122*(VLOOKUP(A122,[1]!TOX,12,FALSE))),IF(Q122=0,0,('[1]Target Risk'!$D$12*(VLOOKUP(A122,[1]!TOX,38,FALSE)))/('GW-1 Exp'!$J$26*'GW-1 Derm'!Q122*(VLOOKUP(A122,[1]!TOX,12,FALSE))))))</f>
        <v>14.074772805157989</v>
      </c>
      <c r="T122" s="575">
        <f>IF(OR(VLOOKUP(A122,[1]!TOX,12,FALSE)=0,VLOOKUP(A122,[1]!TOX,38,FALSE)=0),0,IF(NOT(VLOOKUP(A122,[1]!TOX,36,FALSE)="M"), IF(K122=0,('[1]Target Risk'!$D$12*(VLOOKUP(A122,[1]!TOX,38,FALSE)))/('GW-1 Exp'!$V$21*'GW-1 Derm'!N122*(VLOOKUP(A122,[1]!TOX,12,FALSE))),IF(Q122=0,0,('[1]Target Risk'!$D$12*(VLOOKUP(A122,[1]!TOX,38,FALSE)))/('GW-1 Exp'!$J$26*'GW-1 Derm'!Q122*(VLOOKUP(A122,[1]!TOX,12,FALSE))))), IF(K122=0,('[1]Target Risk'!$D$12*(VLOOKUP(A122,[1]!TOX,38,FALSE)))/(('GW-1 Exp'!$V$26*'GW-1 Derm'!AB122*(VLOOKUP(A122,[1]!TOX,12,FALSE))*10)+('GW-1 Exp'!$V$27*'GW-1 Derm'!AC122*(VLOOKUP(A122,[1]!TOX,12,FALSE))*3)+('GW-1 Exp'!$V$28*'GW-1 Derm'!AD122*(VLOOKUP(A122,[1]!TOX,12,FALSE))*3)+('GW-1 Exp'!$V$29*'GW-1 Derm'!AE122*(VLOOKUP(A122,[1]!TOX,12,FALSE))*1)),IF(Q122=0,0,(('[1]Target Risk'!$D$12*(VLOOKUP(A122,[1]!TOX,38,FALSE)))/(('GW-1 Exp'!$J$33*'GW-1 Derm'!Q122*(VLOOKUP(A122,[1]!TOX,12,FALSE))*10)+('GW-1 Exp'!$J$34*'GW-1 Derm'!Q122*(VLOOKUP(A122,[1]!TOX,12,FALSE))*3)+('GW-1 Exp'!$J$35*'GW-1 Derm'!Q122*(VLOOKUP(A122,[1]!TOX,12,FALSE))*3)+('GW-1 Exp'!$J$36*'GW-1 Derm'!Q122*(VLOOKUP(A122,[1]!TOX,12,FALSE))*1)))))))</f>
        <v>14.074772805157989</v>
      </c>
      <c r="AB122" s="838">
        <f>L122*IF('GW-1 Exp'!U$26&lt;=$E122,2*(VLOOKUP(A122,[1]!TOX,67,FALSE))*1*0.000001*SQRT(6*$C122*'GW-1 Exp'!$U$26/PI()),(VLOOKUP(A122,[1]!TOX,67,FALSE))*1*0.000001*('GW-1 Exp'!$U$26/(1+$B122)+2*$C122*(1+3*$B122+3*$B122^2)/(1+$B122)^2))</f>
        <v>7.6570288080234067E-9</v>
      </c>
      <c r="AC122" s="837">
        <f>L122*IF('GW-1 Exp'!U$27&lt;=$E122,2*(VLOOKUP(A122,[1]!TOX,67,FALSE))*1*0.000001*SQRT(6*$C122*'GW-1 Exp'!$U$27/PI()),(VLOOKUP(A122,[1]!TOX,67,FALSE))*1*0.000001*('GW-1 Exp'!$U$27/(1+$B122)+2*$C122*(1+3*$B122+3*$B122^2)/(1+$B122)^2))</f>
        <v>8.3085620259132189E-9</v>
      </c>
      <c r="AD122" s="837">
        <f>L122*IF('GW-1 Exp'!U$28&lt;=$E122,2*(VLOOKUP(A122,[1]!TOX,67,FALSE))*1*0.000001*SQRT(6*$C122*'GW-1 Exp'!$U$28/PI()),(VLOOKUP(A122,[1]!TOX,67,FALSE))*1*0.000001*('GW-1 Exp'!$U$28/(1+$B122)+2*$C122*(1+3*$B122+3*$B122^2)/(1+$B122)^2))</f>
        <v>8.7519926795678106E-9</v>
      </c>
      <c r="AE122" s="839">
        <f>L122*IF('GW-1 Exp'!U$29&lt;=$E122,2*(VLOOKUP(A122,[1]!TOX,67,FALSE))*1*0.000001*SQRT(6*$C122*'GW-1 Exp'!$U$29/PI()),(VLOOKUP(A122,[1]!TOX,67,FALSE))*1*0.000001*('GW-1 Exp'!$U$29/(1+$B122)+2*$C122*(1+3*$B122+3*$B122^2)/(1+$B122)^2))</f>
        <v>1.0165907035143796E-8</v>
      </c>
    </row>
    <row r="123" spans="1:31" x14ac:dyDescent="0.25">
      <c r="A123" s="540" t="s">
        <v>254</v>
      </c>
      <c r="B123" s="587">
        <f>(VLOOKUP(A123,[1]!TOX,67,FALSE))*(SQRT((VLOOKUP(A123,[1]!TOX,57,FALSE)))/2.6)</f>
        <v>5.0963858338749897E-2</v>
      </c>
      <c r="C123" s="596">
        <f>('GW-1 Exp'!$O$29^2)/(6*D123)</f>
        <v>0.56944102135637131</v>
      </c>
      <c r="D123" s="486">
        <f>10^(-2.8-(0.0056*(VLOOKUP(A123,[1]!TOX,57,FALSE))))*'GW-1 Exp'!$O$29</f>
        <v>2.9268468623787856E-7</v>
      </c>
      <c r="E123" s="597">
        <f t="shared" si="5"/>
        <v>1.3666584512552911</v>
      </c>
      <c r="F123" s="597">
        <f>IF(B123&lt;=0.6,0,(G123-SQRT(G123^2-H123^2))*('GW-1 Exp'!$O$29^2/D123))</f>
        <v>0</v>
      </c>
      <c r="G123" s="582">
        <f t="shared" si="6"/>
        <v>0.33502944706304522</v>
      </c>
      <c r="H123" s="598">
        <f t="shared" si="7"/>
        <v>0.36813302708659873</v>
      </c>
      <c r="I123" s="606">
        <f>IF('GW-1 Exp'!$U$13&lt;=$E123,2*(VLOOKUP(A123,[1]!TOX,67,FALSE))*1*0.000001*SQRT(6*$C123*'GW-1 Exp'!$U$13/PI()),(VLOOKUP(A123,[1]!TOX,67,FALSE))*1*0.000001*('GW-1 Exp'!$U$13/(1+$B123)+2*$C123*(1+3*$B123+3*$B123^2)/(1+$B123)^2))</f>
        <v>1.8592170252904553E-8</v>
      </c>
      <c r="J123" s="607">
        <f>IF('GW-1 Exp'!$U$21&lt;=$E123,2*(VLOOKUP(A123,[1]!TOX,67,FALSE))*1*0.000001*SQRT(6*$C123*'GW-1 Exp'!$U$21/PI()),(VLOOKUP(A123,[1]!TOX,67,FALSE))*1*0.000001*('GW-1 Exp'!$U$21/(1+$B123)+2*$C123*(1+3*$B123+3*$B123^2)/(1+$B123)^2))</f>
        <v>2.1127271607945879E-8</v>
      </c>
      <c r="K123" s="482"/>
      <c r="L123" s="554">
        <v>1</v>
      </c>
      <c r="M123" s="481">
        <f t="shared" si="8"/>
        <v>1.8592170252904553E-8</v>
      </c>
      <c r="N123" s="483">
        <f t="shared" si="9"/>
        <v>2.1127271607945879E-8</v>
      </c>
      <c r="O123" s="486" t="str">
        <f>IF(VLOOKUP(A123,[1]!TOX,81,FALSE)="Y","Inorganic",IF(K123="*","Streamlined",IF($E123=0,"Reduced Steady State",IF('GW-1 Exp'!$U$13&lt;=$E123,"Non-Steady State","Steady State"))))</f>
        <v>Non-Steady State</v>
      </c>
      <c r="P123" s="485" t="str">
        <f>IF(VLOOKUP(A123,[1]!TOX,81,FALSE)="Y","Inorganic",IF(K123="*","Streamlined",IF($E123=0,0,IF('GW-1 Exp'!$U$21&lt;=$E123,"Non-Steady State","Steady State"))))</f>
        <v>Non-Steady State</v>
      </c>
      <c r="Q123" s="563">
        <f>IF(K123=0,0,IF((VLOOKUP(A123,[1]!TOX,67,FALSE))=0,0,IF((VLOOKUP(A123,[1]!TOX,67,FALSE))&lt;0.5,0.2,1)))</f>
        <v>0</v>
      </c>
      <c r="R123" s="614">
        <f>IF(K123=0,IF(M123=0,0,('[1]Target Risk'!$D$8*(VLOOKUP(A123,[1]!TOX,4,FALSE))*(VLOOKUP(A123,[1]!TOX,37,FALSE)))/('GW-1 Exp'!$V$13*'GW-1 Derm'!$M123)),('[1]Target Risk'!$D$8*(VLOOKUP(A123,[1]!TOX,4,FALSE))*(VLOOKUP(A123,[1]!TOX,37,FALSE)))/('GW-1 Exp'!$J$18*'GW-1 Derm'!$Q123))</f>
        <v>13.243361298461933</v>
      </c>
      <c r="S123" s="757">
        <f>IF(OR(VLOOKUP(A123,[1]!TOX,12,FALSE)=0,VLOOKUP(A123,[1]!TOX,38,FALSE)=0),0,IF(K123=0,('[1]Target Risk'!$D$12*(VLOOKUP(A123,[1]!TOX,38,FALSE)))/('GW-1 Exp'!$V$21*'GW-1 Derm'!N123*(VLOOKUP(A123,[1]!TOX,12,FALSE))),IF(Q123=0,0,('[1]Target Risk'!$D$12*(VLOOKUP(A123,[1]!TOX,38,FALSE)))/('GW-1 Exp'!$J$26*'GW-1 Derm'!Q123*(VLOOKUP(A123,[1]!TOX,12,FALSE))))))</f>
        <v>7.6442566170585957</v>
      </c>
      <c r="T123" s="575">
        <f>IF(OR(VLOOKUP(A123,[1]!TOX,12,FALSE)=0,VLOOKUP(A123,[1]!TOX,38,FALSE)=0),0,IF(NOT(VLOOKUP(A123,[1]!TOX,36,FALSE)="M"), IF(K123=0,('[1]Target Risk'!$D$12*(VLOOKUP(A123,[1]!TOX,38,FALSE)))/('GW-1 Exp'!$V$21*'GW-1 Derm'!N123*(VLOOKUP(A123,[1]!TOX,12,FALSE))),IF(Q123=0,0,('[1]Target Risk'!$D$12*(VLOOKUP(A123,[1]!TOX,38,FALSE)))/('GW-1 Exp'!$J$26*'GW-1 Derm'!Q123*(VLOOKUP(A123,[1]!TOX,12,FALSE))))), IF(K123=0,('[1]Target Risk'!$D$12*(VLOOKUP(A123,[1]!TOX,38,FALSE)))/(('GW-1 Exp'!$V$26*'GW-1 Derm'!AB123*(VLOOKUP(A123,[1]!TOX,12,FALSE))*10)+('GW-1 Exp'!$V$27*'GW-1 Derm'!AC123*(VLOOKUP(A123,[1]!TOX,12,FALSE))*3)+('GW-1 Exp'!$V$28*'GW-1 Derm'!AD123*(VLOOKUP(A123,[1]!TOX,12,FALSE))*3)+('GW-1 Exp'!$V$29*'GW-1 Derm'!AE123*(VLOOKUP(A123,[1]!TOX,12,FALSE))*1)),IF(Q123=0,0,(('[1]Target Risk'!$D$12*(VLOOKUP(A123,[1]!TOX,38,FALSE)))/(('GW-1 Exp'!$J$33*'GW-1 Derm'!Q123*(VLOOKUP(A123,[1]!TOX,12,FALSE))*10)+('GW-1 Exp'!$J$34*'GW-1 Derm'!Q123*(VLOOKUP(A123,[1]!TOX,12,FALSE))*3)+('GW-1 Exp'!$J$35*'GW-1 Derm'!Q123*(VLOOKUP(A123,[1]!TOX,12,FALSE))*3)+('GW-1 Exp'!$J$36*'GW-1 Derm'!Q123*(VLOOKUP(A123,[1]!TOX,12,FALSE))*1)))))))</f>
        <v>2.8944786542867709</v>
      </c>
      <c r="AB123" s="838">
        <f>L123*IF('GW-1 Exp'!U$26&lt;=$E123,2*(VLOOKUP(A123,[1]!TOX,67,FALSE))*1*0.000001*SQRT(6*$C123*'GW-1 Exp'!$U$26/PI()),(VLOOKUP(A123,[1]!TOX,67,FALSE))*1*0.000001*('GW-1 Exp'!$U$26/(1+$B123)+2*$C123*(1+3*$B123+3*$B123^2)/(1+$B123)^2))</f>
        <v>1.7356425202041194E-8</v>
      </c>
      <c r="AC123" s="837">
        <f>L123*IF('GW-1 Exp'!U$27&lt;=$E123,2*(VLOOKUP(A123,[1]!TOX,67,FALSE))*1*0.000001*SQRT(6*$C123*'GW-1 Exp'!$U$27/PI()),(VLOOKUP(A123,[1]!TOX,67,FALSE))*1*0.000001*('GW-1 Exp'!$U$27/(1+$B123)+2*$C123*(1+3*$B123+3*$B123^2)/(1+$B123)^2))</f>
        <v>1.8833275798593786E-8</v>
      </c>
      <c r="AD123" s="837">
        <f>L123*IF('GW-1 Exp'!U$28&lt;=$E123,2*(VLOOKUP(A123,[1]!TOX,67,FALSE))*1*0.000001*SQRT(6*$C123*'GW-1 Exp'!$U$28/PI()),(VLOOKUP(A123,[1]!TOX,67,FALSE))*1*0.000001*('GW-1 Exp'!$U$28/(1+$B123)+2*$C123*(1+3*$B123+3*$B123^2)/(1+$B123)^2))</f>
        <v>1.9838413844356847E-8</v>
      </c>
      <c r="AE123" s="839">
        <f>L123*IF('GW-1 Exp'!U$29&lt;=$E123,2*(VLOOKUP(A123,[1]!TOX,67,FALSE))*1*0.000001*SQRT(6*$C123*'GW-1 Exp'!$U$29/PI()),(VLOOKUP(A123,[1]!TOX,67,FALSE))*1*0.000001*('GW-1 Exp'!$U$29/(1+$B123)+2*$C123*(1+3*$B123+3*$B123^2)/(1+$B123)^2))</f>
        <v>2.304337746274263E-8</v>
      </c>
    </row>
    <row r="124" spans="1:31" x14ac:dyDescent="0.25">
      <c r="A124" s="540" t="s">
        <v>255</v>
      </c>
      <c r="B124" s="587">
        <f>(VLOOKUP(A124,[1]!TOX,67,FALSE))*(SQRT((VLOOKUP(A124,[1]!TOX,57,FALSE)))/2.6)</f>
        <v>0.19242423342803597</v>
      </c>
      <c r="C124" s="596">
        <f>('GW-1 Exp'!$O$29^2)/(6*D124)</f>
        <v>1.3336711285322216</v>
      </c>
      <c r="D124" s="486">
        <f>10^(-2.8-(0.0056*(VLOOKUP(A124,[1]!TOX,57,FALSE))))*'GW-1 Exp'!$O$29</f>
        <v>1.2496833972112187E-7</v>
      </c>
      <c r="E124" s="597">
        <f t="shared" si="5"/>
        <v>3.2008107084773316</v>
      </c>
      <c r="F124" s="597">
        <f>IF(B124&lt;=0.6,0,(G124-SQRT(G124^2-H124^2))*('GW-1 Exp'!$O$29^2/D124))</f>
        <v>0</v>
      </c>
      <c r="G124" s="582">
        <f t="shared" si="6"/>
        <v>0.433227288300156</v>
      </c>
      <c r="H124" s="598">
        <f t="shared" si="7"/>
        <v>0.47196680224605747</v>
      </c>
      <c r="I124" s="606">
        <f>IF('GW-1 Exp'!$U$13&lt;=$E124,2*(VLOOKUP(A124,[1]!TOX,67,FALSE))*1*0.000001*SQRT(6*$C124*'GW-1 Exp'!$U$13/PI()),(VLOOKUP(A124,[1]!TOX,67,FALSE))*1*0.000001*('GW-1 Exp'!$U$13/(1+$B124)+2*$C124*(1+3*$B124+3*$B124^2)/(1+$B124)^2))</f>
        <v>8.7605240792547506E-8</v>
      </c>
      <c r="J124" s="607">
        <f>IF('GW-1 Exp'!$U$21&lt;=$E124,2*(VLOOKUP(A124,[1]!TOX,67,FALSE))*1*0.000001*SQRT(6*$C124*'GW-1 Exp'!$U$21/PI()),(VLOOKUP(A124,[1]!TOX,67,FALSE))*1*0.000001*('GW-1 Exp'!$U$21/(1+$B124)+2*$C124*(1+3*$B124+3*$B124^2)/(1+$B124)^2))</f>
        <v>9.9550493101497989E-8</v>
      </c>
      <c r="K124" s="482"/>
      <c r="L124" s="554">
        <v>1</v>
      </c>
      <c r="M124" s="481">
        <f t="shared" si="8"/>
        <v>8.7605240792547506E-8</v>
      </c>
      <c r="N124" s="483">
        <f t="shared" si="9"/>
        <v>9.9550493101497989E-8</v>
      </c>
      <c r="O124" s="486" t="str">
        <f>IF(VLOOKUP(A124,[1]!TOX,81,FALSE)="Y","Inorganic",IF(K124="*","Streamlined",IF($E124=0,"Reduced Steady State",IF('GW-1 Exp'!$U$13&lt;=$E124,"Non-Steady State","Steady State"))))</f>
        <v>Non-Steady State</v>
      </c>
      <c r="P124" s="485" t="str">
        <f>IF(VLOOKUP(A124,[1]!TOX,81,FALSE)="Y","Inorganic",IF(K124="*","Streamlined",IF($E124=0,0,IF('GW-1 Exp'!$U$21&lt;=$E124,"Non-Steady State","Steady State"))))</f>
        <v>Non-Steady State</v>
      </c>
      <c r="Q124" s="563">
        <f>IF(K124=0,0,IF((VLOOKUP(A124,[1]!TOX,67,FALSE))=0,0,IF((VLOOKUP(A124,[1]!TOX,67,FALSE))&lt;0.5,0.2,1)))</f>
        <v>0</v>
      </c>
      <c r="R124" s="614">
        <f>IF(K124=0,IF(M124=0,0,('[1]Target Risk'!$D$8*(VLOOKUP(A124,[1]!TOX,4,FALSE))*(VLOOKUP(A124,[1]!TOX,37,FALSE)))/('GW-1 Exp'!$V$13*'GW-1 Derm'!$M124)),('[1]Target Risk'!$D$8*(VLOOKUP(A124,[1]!TOX,4,FALSE))*(VLOOKUP(A124,[1]!TOX,37,FALSE)))/('GW-1 Exp'!$J$18*'GW-1 Derm'!$Q124))</f>
        <v>562.11894574845417</v>
      </c>
      <c r="S124" s="574">
        <f>IF(OR(VLOOKUP(A124,[1]!TOX,12,FALSE)=0,VLOOKUP(A124,[1]!TOX,38,FALSE)=0),0,IF(K124=0,('[1]Target Risk'!$D$12*(VLOOKUP(A124,[1]!TOX,38,FALSE)))/('GW-1 Exp'!$V$21*'GW-1 Derm'!N124*(VLOOKUP(A124,[1]!TOX,12,FALSE))),IF(Q124=0,0,('[1]Target Risk'!$D$12*(VLOOKUP(A124,[1]!TOX,38,FALSE)))/('GW-1 Exp'!$J$26*'GW-1 Derm'!Q124*(VLOOKUP(A124,[1]!TOX,12,FALSE))))))</f>
        <v>0</v>
      </c>
      <c r="T124" s="575">
        <f>IF(OR(VLOOKUP(A124,[1]!TOX,12,FALSE)=0,VLOOKUP(A124,[1]!TOX,38,FALSE)=0),0,IF(NOT(VLOOKUP(A124,[1]!TOX,36,FALSE)="M"), IF(K124=0,('[1]Target Risk'!$D$12*(VLOOKUP(A124,[1]!TOX,38,FALSE)))/('GW-1 Exp'!$V$21*'GW-1 Derm'!N124*(VLOOKUP(A124,[1]!TOX,12,FALSE))),IF(Q124=0,0,('[1]Target Risk'!$D$12*(VLOOKUP(A124,[1]!TOX,38,FALSE)))/('GW-1 Exp'!$J$26*'GW-1 Derm'!Q124*(VLOOKUP(A124,[1]!TOX,12,FALSE))))), IF(K124=0,('[1]Target Risk'!$D$12*(VLOOKUP(A124,[1]!TOX,38,FALSE)))/(('GW-1 Exp'!$V$26*'GW-1 Derm'!AB124*(VLOOKUP(A124,[1]!TOX,12,FALSE))*10)+('GW-1 Exp'!$V$27*'GW-1 Derm'!AC124*(VLOOKUP(A124,[1]!TOX,12,FALSE))*3)+('GW-1 Exp'!$V$28*'GW-1 Derm'!AD124*(VLOOKUP(A124,[1]!TOX,12,FALSE))*3)+('GW-1 Exp'!$V$29*'GW-1 Derm'!AE124*(VLOOKUP(A124,[1]!TOX,12,FALSE))*1)),IF(Q124=0,0,(('[1]Target Risk'!$D$12*(VLOOKUP(A124,[1]!TOX,38,FALSE)))/(('GW-1 Exp'!$J$33*'GW-1 Derm'!Q124*(VLOOKUP(A124,[1]!TOX,12,FALSE))*10)+('GW-1 Exp'!$J$34*'GW-1 Derm'!Q124*(VLOOKUP(A124,[1]!TOX,12,FALSE))*3)+('GW-1 Exp'!$J$35*'GW-1 Derm'!Q124*(VLOOKUP(A124,[1]!TOX,12,FALSE))*3)+('GW-1 Exp'!$J$36*'GW-1 Derm'!Q124*(VLOOKUP(A124,[1]!TOX,12,FALSE))*1)))))))</f>
        <v>0</v>
      </c>
      <c r="AB124" s="838">
        <f>L124*IF('GW-1 Exp'!U$26&lt;=$E124,2*(VLOOKUP(A124,[1]!TOX,67,FALSE))*1*0.000001*SQRT(6*$C124*'GW-1 Exp'!$U$26/PI()),(VLOOKUP(A124,[1]!TOX,67,FALSE))*1*0.000001*('GW-1 Exp'!$U$26/(1+$B124)+2*$C124*(1+3*$B124+3*$B124^2)/(1+$B124)^2))</f>
        <v>8.1782480928234679E-8</v>
      </c>
      <c r="AC124" s="837">
        <f>L124*IF('GW-1 Exp'!U$27&lt;=$E124,2*(VLOOKUP(A124,[1]!TOX,67,FALSE))*1*0.000001*SQRT(6*$C124*'GW-1 Exp'!$U$27/PI()),(VLOOKUP(A124,[1]!TOX,67,FALSE))*1*0.000001*('GW-1 Exp'!$U$27/(1+$B124)+2*$C124*(1+3*$B124+3*$B124^2)/(1+$B124)^2))</f>
        <v>8.8741316307089646E-8</v>
      </c>
      <c r="AD124" s="837">
        <f>L124*IF('GW-1 Exp'!U$28&lt;=$E124,2*(VLOOKUP(A124,[1]!TOX,67,FALSE))*1*0.000001*SQRT(6*$C124*'GW-1 Exp'!$U$28/PI()),(VLOOKUP(A124,[1]!TOX,67,FALSE))*1*0.000001*('GW-1 Exp'!$U$28/(1+$B124)+2*$C124*(1+3*$B124+3*$B124^2)/(1+$B124)^2))</f>
        <v>9.347746917848815E-8</v>
      </c>
      <c r="AE124" s="839">
        <f>L124*IF('GW-1 Exp'!U$29&lt;=$E124,2*(VLOOKUP(A124,[1]!TOX,67,FALSE))*1*0.000001*SQRT(6*$C124*'GW-1 Exp'!$U$29/PI()),(VLOOKUP(A124,[1]!TOX,67,FALSE))*1*0.000001*('GW-1 Exp'!$U$29/(1+$B124)+2*$C124*(1+3*$B124+3*$B124^2)/(1+$B124)^2))</f>
        <v>1.0857907408532668E-7</v>
      </c>
    </row>
    <row r="125" spans="1:31" x14ac:dyDescent="0.25">
      <c r="A125" s="540" t="s">
        <v>256</v>
      </c>
      <c r="B125" s="587">
        <f>(VLOOKUP(A125,[1]!TOX,67,FALSE))*(SQRT((VLOOKUP(A125,[1]!TOX,57,FALSE)))/2.6)</f>
        <v>0.18384836210230868</v>
      </c>
      <c r="C125" s="596">
        <f>('GW-1 Exp'!$O$29^2)/(6*D125)</f>
        <v>1.3336711285322216</v>
      </c>
      <c r="D125" s="486">
        <f>10^(-2.8-(0.0056*(VLOOKUP(A125,[1]!TOX,57,FALSE))))*'GW-1 Exp'!$O$29</f>
        <v>1.2496833972112187E-7</v>
      </c>
      <c r="E125" s="597">
        <f t="shared" si="5"/>
        <v>3.2008107084773316</v>
      </c>
      <c r="F125" s="597">
        <f>IF(B125&lt;=0.6,0,(G125-SQRT(G125^2-H125^2))*('GW-1 Exp'!$O$29^2/D125))</f>
        <v>0</v>
      </c>
      <c r="G125" s="582">
        <f t="shared" si="6"/>
        <v>0.42680471103803158</v>
      </c>
      <c r="H125" s="598">
        <f t="shared" si="7"/>
        <v>0.46541595471306446</v>
      </c>
      <c r="I125" s="606">
        <f>IF('GW-1 Exp'!$U$13&lt;=$E125,2*(VLOOKUP(A125,[1]!TOX,67,FALSE))*1*0.000001*SQRT(6*$C125*'GW-1 Exp'!$U$13/PI()),(VLOOKUP(A125,[1]!TOX,67,FALSE))*1*0.000001*('GW-1 Exp'!$U$13/(1+$B125)+2*$C125*(1+3*$B125+3*$B125^2)/(1+$B125)^2))</f>
        <v>8.3700892264755588E-8</v>
      </c>
      <c r="J125" s="607">
        <f>IF('GW-1 Exp'!$U$21&lt;=$E125,2*(VLOOKUP(A125,[1]!TOX,67,FALSE))*1*0.000001*SQRT(6*$C125*'GW-1 Exp'!$U$21/PI()),(VLOOKUP(A125,[1]!TOX,67,FALSE))*1*0.000001*('GW-1 Exp'!$U$21/(1+$B125)+2*$C125*(1+3*$B125+3*$B125^2)/(1+$B125)^2))</f>
        <v>9.5113774274342392E-8</v>
      </c>
      <c r="K125" s="482"/>
      <c r="L125" s="554">
        <v>1</v>
      </c>
      <c r="M125" s="481">
        <f t="shared" si="8"/>
        <v>8.3700892264755588E-8</v>
      </c>
      <c r="N125" s="483">
        <f t="shared" si="9"/>
        <v>9.5113774274342392E-8</v>
      </c>
      <c r="O125" s="486" t="str">
        <f>IF(VLOOKUP(A125,[1]!TOX,81,FALSE)="Y","Inorganic",IF(K125="*","Streamlined",IF($E125=0,"Reduced Steady State",IF('GW-1 Exp'!$U$13&lt;=$E125,"Non-Steady State","Steady State"))))</f>
        <v>Non-Steady State</v>
      </c>
      <c r="P125" s="485" t="str">
        <f>IF(VLOOKUP(A125,[1]!TOX,81,FALSE)="Y","Inorganic",IF(K125="*","Streamlined",IF($E125=0,0,IF('GW-1 Exp'!$U$21&lt;=$E125,"Non-Steady State","Steady State"))))</f>
        <v>Non-Steady State</v>
      </c>
      <c r="Q125" s="563">
        <f>IF(K125=0,0,IF((VLOOKUP(A125,[1]!TOX,67,FALSE))=0,0,IF((VLOOKUP(A125,[1]!TOX,67,FALSE))&lt;0.5,0.2,1)))</f>
        <v>0</v>
      </c>
      <c r="R125" s="614">
        <f>IF(K125=0,IF(M125=0,0,('[1]Target Risk'!$D$8*(VLOOKUP(A125,[1]!TOX,4,FALSE))*(VLOOKUP(A125,[1]!TOX,37,FALSE)))/('GW-1 Exp'!$V$13*'GW-1 Derm'!$M125)),('[1]Target Risk'!$D$8*(VLOOKUP(A125,[1]!TOX,4,FALSE))*(VLOOKUP(A125,[1]!TOX,37,FALSE)))/('GW-1 Exp'!$J$18*'GW-1 Derm'!$Q125))</f>
        <v>5.8833979261033473</v>
      </c>
      <c r="S125" s="574">
        <f>IF(OR(VLOOKUP(A125,[1]!TOX,12,FALSE)=0,VLOOKUP(A125,[1]!TOX,38,FALSE)=0),0,IF(K125=0,('[1]Target Risk'!$D$12*(VLOOKUP(A125,[1]!TOX,38,FALSE)))/('GW-1 Exp'!$V$21*'GW-1 Derm'!N125*(VLOOKUP(A125,[1]!TOX,12,FALSE))),IF(Q125=0,0,('[1]Target Risk'!$D$12*(VLOOKUP(A125,[1]!TOX,38,FALSE)))/('GW-1 Exp'!$J$26*'GW-1 Derm'!Q125*(VLOOKUP(A125,[1]!TOX,12,FALSE))))))</f>
        <v>7.1469964061460391</v>
      </c>
      <c r="T125" s="575">
        <f>IF(OR(VLOOKUP(A125,[1]!TOX,12,FALSE)=0,VLOOKUP(A125,[1]!TOX,38,FALSE)=0),0,IF(NOT(VLOOKUP(A125,[1]!TOX,36,FALSE)="M"), IF(K125=0,('[1]Target Risk'!$D$12*(VLOOKUP(A125,[1]!TOX,38,FALSE)))/('GW-1 Exp'!$V$21*'GW-1 Derm'!N125*(VLOOKUP(A125,[1]!TOX,12,FALSE))),IF(Q125=0,0,('[1]Target Risk'!$D$12*(VLOOKUP(A125,[1]!TOX,38,FALSE)))/('GW-1 Exp'!$J$26*'GW-1 Derm'!Q125*(VLOOKUP(A125,[1]!TOX,12,FALSE))))), IF(K125=0,('[1]Target Risk'!$D$12*(VLOOKUP(A125,[1]!TOX,38,FALSE)))/(('GW-1 Exp'!$V$26*'GW-1 Derm'!AB125*(VLOOKUP(A125,[1]!TOX,12,FALSE))*10)+('GW-1 Exp'!$V$27*'GW-1 Derm'!AC125*(VLOOKUP(A125,[1]!TOX,12,FALSE))*3)+('GW-1 Exp'!$V$28*'GW-1 Derm'!AD125*(VLOOKUP(A125,[1]!TOX,12,FALSE))*3)+('GW-1 Exp'!$V$29*'GW-1 Derm'!AE125*(VLOOKUP(A125,[1]!TOX,12,FALSE))*1)),IF(Q125=0,0,(('[1]Target Risk'!$D$12*(VLOOKUP(A125,[1]!TOX,38,FALSE)))/(('GW-1 Exp'!$J$33*'GW-1 Derm'!Q125*(VLOOKUP(A125,[1]!TOX,12,FALSE))*10)+('GW-1 Exp'!$J$34*'GW-1 Derm'!Q125*(VLOOKUP(A125,[1]!TOX,12,FALSE))*3)+('GW-1 Exp'!$J$35*'GW-1 Derm'!Q125*(VLOOKUP(A125,[1]!TOX,12,FALSE))*3)+('GW-1 Exp'!$J$36*'GW-1 Derm'!Q125*(VLOOKUP(A125,[1]!TOX,12,FALSE))*1)))))))</f>
        <v>7.1469964061460391</v>
      </c>
      <c r="AB125" s="838">
        <f>L125*IF('GW-1 Exp'!U$26&lt;=$E125,2*(VLOOKUP(A125,[1]!TOX,67,FALSE))*1*0.000001*SQRT(6*$C125*'GW-1 Exp'!$U$26/PI()),(VLOOKUP(A125,[1]!TOX,67,FALSE))*1*0.000001*('GW-1 Exp'!$U$26/(1+$B125)+2*$C125*(1+3*$B125+3*$B125^2)/(1+$B125)^2))</f>
        <v>7.8137638380886899E-8</v>
      </c>
      <c r="AC125" s="837">
        <f>L125*IF('GW-1 Exp'!U$27&lt;=$E125,2*(VLOOKUP(A125,[1]!TOX,67,FALSE))*1*0.000001*SQRT(6*$C125*'GW-1 Exp'!$U$27/PI()),(VLOOKUP(A125,[1]!TOX,67,FALSE))*1*0.000001*('GW-1 Exp'!$U$27/(1+$B125)+2*$C125*(1+3*$B125+3*$B125^2)/(1+$B125)^2))</f>
        <v>8.4786335708401778E-8</v>
      </c>
      <c r="AD125" s="837">
        <f>L125*IF('GW-1 Exp'!U$28&lt;=$E125,2*(VLOOKUP(A125,[1]!TOX,67,FALSE))*1*0.000001*SQRT(6*$C125*'GW-1 Exp'!$U$28/PI()),(VLOOKUP(A125,[1]!TOX,67,FALSE))*1*0.000001*('GW-1 Exp'!$U$28/(1+$B125)+2*$C125*(1+3*$B125+3*$B125^2)/(1+$B125)^2))</f>
        <v>8.9311409980808354E-8</v>
      </c>
      <c r="AE125" s="839">
        <f>L125*IF('GW-1 Exp'!U$29&lt;=$E125,2*(VLOOKUP(A125,[1]!TOX,67,FALSE))*1*0.000001*SQRT(6*$C125*'GW-1 Exp'!$U$29/PI()),(VLOOKUP(A125,[1]!TOX,67,FALSE))*1*0.000001*('GW-1 Exp'!$U$29/(1+$B125)+2*$C125*(1+3*$B125+3*$B125^2)/(1+$B125)^2))</f>
        <v>1.0373997377330381E-7</v>
      </c>
    </row>
    <row r="126" spans="1:31" x14ac:dyDescent="0.25">
      <c r="A126" s="541" t="s">
        <v>257</v>
      </c>
      <c r="B126" s="587">
        <f>(VLOOKUP(A126,[1]!TOX,67,FALSE))*(SQRT((VLOOKUP(A126,[1]!TOX,57,FALSE)))/2.6)</f>
        <v>2.7467032417472499E-3</v>
      </c>
      <c r="C126" s="596">
        <f>('GW-1 Exp'!$O$29^2)/(6*D126)</f>
        <v>0.20297789748187661</v>
      </c>
      <c r="D126" s="486">
        <f>10^(-2.8-(0.0056*(VLOOKUP(A126,[1]!TOX,57,FALSE))))*'GW-1 Exp'!$O$29</f>
        <v>8.2110746408508788E-7</v>
      </c>
      <c r="E126" s="597">
        <f t="shared" si="5"/>
        <v>0.48714695395650387</v>
      </c>
      <c r="F126" s="597">
        <f>IF(B126&lt;=0.6,0,(G126-SQRT(G126^2-H126^2))*('GW-1 Exp'!$O$29^2/D126))</f>
        <v>0</v>
      </c>
      <c r="G126" s="582">
        <f t="shared" si="6"/>
        <v>0.30495480972101396</v>
      </c>
      <c r="H126" s="598">
        <f t="shared" si="7"/>
        <v>0.3351669767322617</v>
      </c>
      <c r="I126" s="854">
        <f>(VLOOKUP(A126,[1]!TOX,67,FALSE))*1*0.000001*'GW-1 Exp'!$U$13</f>
        <v>5.9285714285714288E-10</v>
      </c>
      <c r="J126" s="855">
        <f>(VLOOKUP(A126,[1]!TOX,67,FALSE))*1*0.000001*'GW-1 Exp'!$U$21</f>
        <v>7.6555555555555563E-10</v>
      </c>
      <c r="K126" s="482"/>
      <c r="L126" s="554">
        <v>1</v>
      </c>
      <c r="M126" s="481">
        <f t="shared" si="8"/>
        <v>5.9285714285714288E-10</v>
      </c>
      <c r="N126" s="483">
        <f t="shared" si="9"/>
        <v>7.6555555555555563E-10</v>
      </c>
      <c r="O126" s="486" t="str">
        <f>IF(VLOOKUP(A126,[1]!TOX,81,FALSE)="Y","Inorganic",IF(K126="*","Streamlined",IF($E126=0,"Reduced Steady State",IF('GW-1 Exp'!$U$13&lt;=$E126,"Non-Steady State","Steady State"))))</f>
        <v>Inorganic</v>
      </c>
      <c r="P126" s="485" t="str">
        <f>IF(VLOOKUP(A126,[1]!TOX,81,FALSE)="Y","Inorganic",IF(K126="*","Streamlined",IF($E126=0,0,IF('GW-1 Exp'!$U$21&lt;=$E126,"Non-Steady State","Steady State"))))</f>
        <v>Inorganic</v>
      </c>
      <c r="Q126" s="563">
        <f>IF(K126=0,0,IF((VLOOKUP(A126,[1]!TOX,67,FALSE))=0,0,IF((VLOOKUP(A126,[1]!TOX,67,FALSE))&lt;0.5,0.2,1)))</f>
        <v>0</v>
      </c>
      <c r="R126" s="614">
        <f>IF(K126=0,IF(M126=0,0,('[1]Target Risk'!$D$8*(VLOOKUP(A126,[1]!TOX,4,FALSE))*(VLOOKUP(A126,[1]!TOX,37,FALSE)))/('GW-1 Exp'!$V$13*'GW-1 Derm'!$M126)),('[1]Target Risk'!$D$8*(VLOOKUP(A126,[1]!TOX,4,FALSE))*(VLOOKUP(A126,[1]!TOX,37,FALSE)))/('GW-1 Exp'!$J$18*'GW-1 Derm'!$Q126))</f>
        <v>373.78405211684515</v>
      </c>
      <c r="S126" s="574">
        <f>IF(OR(VLOOKUP(A126,[1]!TOX,12,FALSE)=0,VLOOKUP(A126,[1]!TOX,38,FALSE)=0),0,IF(K126=0,('[1]Target Risk'!$D$12*(VLOOKUP(A126,[1]!TOX,38,FALSE)))/('GW-1 Exp'!$V$21*'GW-1 Derm'!N126*(VLOOKUP(A126,[1]!TOX,12,FALSE))),IF(Q126=0,0,('[1]Target Risk'!$D$12*(VLOOKUP(A126,[1]!TOX,38,FALSE)))/('GW-1 Exp'!$J$26*'GW-1 Derm'!Q126*(VLOOKUP(A126,[1]!TOX,12,FALSE))))))</f>
        <v>0</v>
      </c>
      <c r="T126" s="575">
        <f>IF(OR(VLOOKUP(A126,[1]!TOX,12,FALSE)=0,VLOOKUP(A126,[1]!TOX,38,FALSE)=0),0,IF(NOT(VLOOKUP(A126,[1]!TOX,36,FALSE)="M"), IF(K126=0,('[1]Target Risk'!$D$12*(VLOOKUP(A126,[1]!TOX,38,FALSE)))/('GW-1 Exp'!$V$21*'GW-1 Derm'!N126*(VLOOKUP(A126,[1]!TOX,12,FALSE))),IF(Q126=0,0,('[1]Target Risk'!$D$12*(VLOOKUP(A126,[1]!TOX,38,FALSE)))/('GW-1 Exp'!$J$26*'GW-1 Derm'!Q126*(VLOOKUP(A126,[1]!TOX,12,FALSE))))), IF(K126=0,('[1]Target Risk'!$D$12*(VLOOKUP(A126,[1]!TOX,38,FALSE)))/(('GW-1 Exp'!$V$26*'GW-1 Derm'!AB126*(VLOOKUP(A126,[1]!TOX,12,FALSE))*10)+('GW-1 Exp'!$V$27*'GW-1 Derm'!AC126*(VLOOKUP(A126,[1]!TOX,12,FALSE))*3)+('GW-1 Exp'!$V$28*'GW-1 Derm'!AD126*(VLOOKUP(A126,[1]!TOX,12,FALSE))*3)+('GW-1 Exp'!$V$29*'GW-1 Derm'!AE126*(VLOOKUP(A126,[1]!TOX,12,FALSE))*1)),IF(Q126=0,0,(('[1]Target Risk'!$D$12*(VLOOKUP(A126,[1]!TOX,38,FALSE)))/(('GW-1 Exp'!$J$33*'GW-1 Derm'!Q126*(VLOOKUP(A126,[1]!TOX,12,FALSE))*10)+('GW-1 Exp'!$J$34*'GW-1 Derm'!Q126*(VLOOKUP(A126,[1]!TOX,12,FALSE))*3)+('GW-1 Exp'!$J$35*'GW-1 Derm'!Q126*(VLOOKUP(A126,[1]!TOX,12,FALSE))*3)+('GW-1 Exp'!$J$36*'GW-1 Derm'!Q126*(VLOOKUP(A126,[1]!TOX,12,FALSE))*1)))))))</f>
        <v>0</v>
      </c>
      <c r="AB126" s="838">
        <f>L126*IF('GW-1 Exp'!U$26&lt;=$E126,2*(VLOOKUP(A126,[1]!TOX,67,FALSE))*1*0.000001*SQRT(6*$C126*'GW-1 Exp'!$U$26/PI()),(VLOOKUP(A126,[1]!TOX,67,FALSE))*1*0.000001*('GW-1 Exp'!$U$26/(1+$B126)+2*$C126*(1+3*$B126+3*$B126^2)/(1+$B126)^2))</f>
        <v>9.2232225060582136E-10</v>
      </c>
      <c r="AC126" s="837">
        <f>L126*IF('GW-1 Exp'!U$27&lt;=$E126,2*(VLOOKUP(A126,[1]!TOX,67,FALSE))*1*0.000001*SQRT(6*$C126*'GW-1 Exp'!$U$27/PI()),(VLOOKUP(A126,[1]!TOX,67,FALSE))*1*0.000001*('GW-1 Exp'!$U$27/(1+$B126)+2*$C126*(1+3*$B126+3*$B126^2)/(1+$B126)^2))</f>
        <v>1.0137378258157128E-9</v>
      </c>
      <c r="AD126" s="837">
        <f>L126*IF('GW-1 Exp'!U$28&lt;=$E126,2*(VLOOKUP(A126,[1]!TOX,67,FALSE))*1*0.000001*SQRT(6*$C126*'GW-1 Exp'!$U$28/PI()),(VLOOKUP(A126,[1]!TOX,67,FALSE))*1*0.000001*('GW-1 Exp'!$U$28/(1+$B126)+2*$C126*(1+3*$B126+3*$B126^2)/(1+$B126)^2))</f>
        <v>1.0802218805138158E-9</v>
      </c>
      <c r="AE126" s="839">
        <f>L126*IF('GW-1 Exp'!U$29&lt;=$E126,2*(VLOOKUP(A126,[1]!TOX,67,FALSE))*1*0.000001*SQRT(6*$C126*'GW-1 Exp'!$U$29/PI()),(VLOOKUP(A126,[1]!TOX,67,FALSE))*1*0.000001*('GW-1 Exp'!$U$29/(1+$B126)+2*$C126*(1+3*$B126+3*$B126^2)/(1+$B126)^2))</f>
        <v>1.3152905024821083E-9</v>
      </c>
    </row>
    <row r="127" spans="1:31" x14ac:dyDescent="0.25">
      <c r="A127" s="540" t="s">
        <v>258</v>
      </c>
      <c r="B127" s="587">
        <f>(VLOOKUP(A127,[1]!TOX,67,FALSE))*(SQRT((VLOOKUP(A127,[1]!TOX,57,FALSE)))/2.6)</f>
        <v>2.5182388908990397E-2</v>
      </c>
      <c r="C127" s="596">
        <f>('GW-1 Exp'!$O$29^2)/(6*D127)</f>
        <v>0.23694565521800084</v>
      </c>
      <c r="D127" s="486">
        <f>10^(-2.8-(0.0056*(VLOOKUP(A127,[1]!TOX,57,FALSE))))*'GW-1 Exp'!$O$29</f>
        <v>7.0339617121624655E-7</v>
      </c>
      <c r="E127" s="597">
        <f t="shared" si="5"/>
        <v>0.56866957252320205</v>
      </c>
      <c r="F127" s="597">
        <f>IF(B127&lt;=0.6,0,(G127-SQRT(G127^2-H127^2))*('GW-1 Exp'!$O$29^2/D127))</f>
        <v>0</v>
      </c>
      <c r="G127" s="582">
        <f t="shared" si="6"/>
        <v>0.31875891547194335</v>
      </c>
      <c r="H127" s="598">
        <f t="shared" si="7"/>
        <v>0.35032778444009205</v>
      </c>
      <c r="I127" s="606">
        <f>IF('GW-1 Exp'!$U$13&lt;=$E127,2*(VLOOKUP(A127,[1]!TOX,67,FALSE))*1*0.000001*SQRT(6*$C127*'GW-1 Exp'!$U$13/PI()),(VLOOKUP(A127,[1]!TOX,67,FALSE))*1*0.000001*('GW-1 Exp'!$U$13/(1+$B127)+2*$C127*(1+3*$B127+3*$B127^2)/(1+$B127)^2))</f>
        <v>8.7778346598039567E-9</v>
      </c>
      <c r="J127" s="607">
        <f>IF('GW-1 Exp'!$U$21&lt;=$E127,2*(VLOOKUP(A127,[1]!TOX,67,FALSE))*1*0.000001*SQRT(6*$C127*'GW-1 Exp'!$U$21/PI()),(VLOOKUP(A127,[1]!TOX,67,FALSE))*1*0.000001*('GW-1 Exp'!$U$21/(1+$B127)+2*$C127*(1+3*$B127+3*$B127^2)/(1+$B127)^2))</f>
        <v>1.0167426351620748E-8</v>
      </c>
      <c r="K127" s="482"/>
      <c r="L127" s="554">
        <v>1</v>
      </c>
      <c r="M127" s="481">
        <f t="shared" si="8"/>
        <v>8.7778346598039567E-9</v>
      </c>
      <c r="N127" s="483">
        <f t="shared" si="9"/>
        <v>1.0167426351620748E-8</v>
      </c>
      <c r="O127" s="486" t="str">
        <f>IF(VLOOKUP(A127,[1]!TOX,81,FALSE)="Y","Inorganic",IF(K127="*","Streamlined",IF($E127=0,"Reduced Steady State",IF('GW-1 Exp'!$U$13&lt;=$E127,"Non-Steady State","Steady State"))))</f>
        <v>Steady State</v>
      </c>
      <c r="P127" s="485" t="str">
        <f>IF(VLOOKUP(A127,[1]!TOX,81,FALSE)="Y","Inorganic",IF(K127="*","Streamlined",IF($E127=0,0,IF('GW-1 Exp'!$U$21&lt;=$E127,"Non-Steady State","Steady State"))))</f>
        <v>Steady State</v>
      </c>
      <c r="Q127" s="563">
        <f>IF(K127=0,0,IF((VLOOKUP(A127,[1]!TOX,67,FALSE))=0,0,IF((VLOOKUP(A127,[1]!TOX,67,FALSE))&lt;0.5,0.2,1)))</f>
        <v>0</v>
      </c>
      <c r="R127" s="614">
        <f>IF(K127=0,IF(M127=0,0,('[1]Target Risk'!$D$8*(VLOOKUP(A127,[1]!TOX,4,FALSE))*(VLOOKUP(A127,[1]!TOX,37,FALSE)))/('GW-1 Exp'!$V$13*'GW-1 Derm'!$M127)),('[1]Target Risk'!$D$8*(VLOOKUP(A127,[1]!TOX,4,FALSE))*(VLOOKUP(A127,[1]!TOX,37,FALSE)))/('GW-1 Exp'!$J$18*'GW-1 Derm'!$Q127))</f>
        <v>164.93705847096865</v>
      </c>
      <c r="S127" s="757">
        <f>IF(OR(VLOOKUP(A127,[1]!TOX,12,FALSE)=0,VLOOKUP(A127,[1]!TOX,38,FALSE)=0),0,IF(K127=0,('[1]Target Risk'!$D$12*(VLOOKUP(A127,[1]!TOX,38,FALSE)))/('GW-1 Exp'!$V$21*'GW-1 Derm'!N127*(VLOOKUP(A127,[1]!TOX,12,FALSE))),IF(Q127=0,0,('[1]Target Risk'!$D$12*(VLOOKUP(A127,[1]!TOX,38,FALSE)))/('GW-1 Exp'!$J$26*'GW-1 Derm'!Q127*(VLOOKUP(A127,[1]!TOX,12,FALSE))))))</f>
        <v>0.65372652481488158</v>
      </c>
      <c r="T127" s="575">
        <f>IF(OR(VLOOKUP(A127,[1]!TOX,12,FALSE)=0,VLOOKUP(A127,[1]!TOX,38,FALSE)=0),0,IF(NOT(VLOOKUP(A127,[1]!TOX,36,FALSE)="M"), IF(K127=0,('[1]Target Risk'!$D$12*(VLOOKUP(A127,[1]!TOX,38,FALSE)))/('GW-1 Exp'!$V$21*'GW-1 Derm'!N127*(VLOOKUP(A127,[1]!TOX,12,FALSE))),IF(Q127=0,0,('[1]Target Risk'!$D$12*(VLOOKUP(A127,[1]!TOX,38,FALSE)))/('GW-1 Exp'!$J$26*'GW-1 Derm'!Q127*(VLOOKUP(A127,[1]!TOX,12,FALSE))))), IF(K127=0,('[1]Target Risk'!$D$12*(VLOOKUP(A127,[1]!TOX,38,FALSE)))/(('GW-1 Exp'!$V$26*'GW-1 Derm'!AB127*(VLOOKUP(A127,[1]!TOX,12,FALSE))*10)+('GW-1 Exp'!$V$27*'GW-1 Derm'!AC127*(VLOOKUP(A127,[1]!TOX,12,FALSE))*3)+('GW-1 Exp'!$V$28*'GW-1 Derm'!AD127*(VLOOKUP(A127,[1]!TOX,12,FALSE))*3)+('GW-1 Exp'!$V$29*'GW-1 Derm'!AE127*(VLOOKUP(A127,[1]!TOX,12,FALSE))*1)),IF(Q127=0,0,(('[1]Target Risk'!$D$12*(VLOOKUP(A127,[1]!TOX,38,FALSE)))/(('GW-1 Exp'!$J$33*'GW-1 Derm'!Q127*(VLOOKUP(A127,[1]!TOX,12,FALSE))*10)+('GW-1 Exp'!$J$34*'GW-1 Derm'!Q127*(VLOOKUP(A127,[1]!TOX,12,FALSE))*3)+('GW-1 Exp'!$J$35*'GW-1 Derm'!Q127*(VLOOKUP(A127,[1]!TOX,12,FALSE))*3)+('GW-1 Exp'!$J$36*'GW-1 Derm'!Q127*(VLOOKUP(A127,[1]!TOX,12,FALSE))*1)))))))</f>
        <v>0.25191938572828082</v>
      </c>
      <c r="AB127" s="838">
        <f>L127*IF('GW-1 Exp'!U$26&lt;=$E127,2*(VLOOKUP(A127,[1]!TOX,67,FALSE))*1*0.000001*SQRT(6*$C127*'GW-1 Exp'!$U$26/PI()),(VLOOKUP(A127,[1]!TOX,67,FALSE))*1*0.000001*('GW-1 Exp'!$U$26/(1+$B127)+2*$C127*(1+3*$B127+3*$B127^2)/(1+$B127)^2))</f>
        <v>7.9773800186720121E-9</v>
      </c>
      <c r="AC127" s="837">
        <f>L127*IF('GW-1 Exp'!U$27&lt;=$E127,2*(VLOOKUP(A127,[1]!TOX,67,FALSE))*1*0.000001*SQRT(6*$C127*'GW-1 Exp'!$U$27/PI()),(VLOOKUP(A127,[1]!TOX,67,FALSE))*1*0.000001*('GW-1 Exp'!$U$27/(1+$B127)+2*$C127*(1+3*$B127+3*$B127^2)/(1+$B127)^2))</f>
        <v>8.9023614888040826E-9</v>
      </c>
      <c r="AD127" s="837">
        <f>L127*IF('GW-1 Exp'!U$28&lt;=$E127,2*(VLOOKUP(A127,[1]!TOX,67,FALSE))*1*0.000001*SQRT(6*$C127*'GW-1 Exp'!$U$28/PI()),(VLOOKUP(A127,[1]!TOX,67,FALSE))*1*0.000001*('GW-1 Exp'!$U$28/(1+$B127)+2*$C127*(1+3*$B127+3*$B127^2)/(1+$B127)^2))</f>
        <v>9.4387847521892421E-9</v>
      </c>
      <c r="AE127" s="839">
        <f>L127*IF('GW-1 Exp'!U$29&lt;=$E127,2*(VLOOKUP(A127,[1]!TOX,67,FALSE))*1*0.000001*SQRT(6*$C127*'GW-1 Exp'!$U$29/PI()),(VLOOKUP(A127,[1]!TOX,67,FALSE))*1*0.000001*('GW-1 Exp'!$U$29/(1+$B127)+2*$C127*(1+3*$B127+3*$B127^2)/(1+$B127)^2))</f>
        <v>1.1335424147729625E-8</v>
      </c>
    </row>
    <row r="128" spans="1:31" x14ac:dyDescent="0.25">
      <c r="A128" s="540" t="s">
        <v>286</v>
      </c>
      <c r="B128" s="587">
        <f>(VLOOKUP(A128,[1]!TOX,67,FALSE))*(SQRT((VLOOKUP(A128,[1]!TOX,57,FALSE)))/2.6)</f>
        <v>0.19484065669689229</v>
      </c>
      <c r="C128" s="596">
        <f>('GW-1 Exp'!$O$29^2)/(6*D128)</f>
        <v>0.41252355301238558</v>
      </c>
      <c r="D128" s="486">
        <f>10^(-2.8-(0.0056*(VLOOKUP(A128,[1]!TOX,57,FALSE))))*'GW-1 Exp'!$O$29</f>
        <v>4.0401733537300028E-7</v>
      </c>
      <c r="E128" s="597">
        <f t="shared" si="5"/>
        <v>0.99005652722972537</v>
      </c>
      <c r="F128" s="597">
        <f>IF(B128&lt;=0.6,0,(G128-SQRT(G128^2-H128^2))*('GW-1 Exp'!$O$29^2/D128))</f>
        <v>0</v>
      </c>
      <c r="G128" s="582">
        <f t="shared" si="6"/>
        <v>0.43504863849450098</v>
      </c>
      <c r="H128" s="598">
        <f t="shared" si="7"/>
        <v>0.47381788388200091</v>
      </c>
      <c r="I128" s="606">
        <f>IF('GW-1 Exp'!$U$13&lt;=$E128,2*(VLOOKUP(A128,[1]!TOX,67,FALSE))*1*0.000001*SQRT(6*$C128*'GW-1 Exp'!$U$13/PI()),(VLOOKUP(A128,[1]!TOX,67,FALSE))*1*0.000001*('GW-1 Exp'!$U$13/(1+$B128)+2*$C128*(1+3*$B128+3*$B128^2)/(1+$B128)^2))</f>
        <v>6.725585338497523E-8</v>
      </c>
      <c r="J128" s="607">
        <f>IF('GW-1 Exp'!$U$21&lt;=$E128,2*(VLOOKUP(A128,[1]!TOX,67,FALSE))*1*0.000001*SQRT(6*$C128*'GW-1 Exp'!$U$21/PI()),(VLOOKUP(A128,[1]!TOX,67,FALSE))*1*0.000001*('GW-1 Exp'!$U$21/(1+$B128)+2*$C128*(1+3*$B128+3*$B128^2)/(1+$B128)^2))</f>
        <v>7.6426402209100527E-8</v>
      </c>
      <c r="K128" s="482"/>
      <c r="L128" s="554">
        <v>1</v>
      </c>
      <c r="M128" s="481">
        <f t="shared" si="8"/>
        <v>6.725585338497523E-8</v>
      </c>
      <c r="N128" s="483">
        <f t="shared" si="9"/>
        <v>7.6426402209100527E-8</v>
      </c>
      <c r="O128" s="486" t="str">
        <f>IF(VLOOKUP(A128,[1]!TOX,81,FALSE)="Y","Inorganic",IF(K128="*","Streamlined",IF($E128=0,"Reduced Steady State",IF('GW-1 Exp'!$U$13&lt;=$E128,"Non-Steady State","Steady State"))))</f>
        <v>Non-Steady State</v>
      </c>
      <c r="P128" s="485" t="str">
        <f>IF(VLOOKUP(A128,[1]!TOX,81,FALSE)="Y","Inorganic",IF(K128="*","Streamlined",IF($E128=0,0,IF('GW-1 Exp'!$U$21&lt;=$E128,"Non-Steady State","Steady State"))))</f>
        <v>Non-Steady State</v>
      </c>
      <c r="Q128" s="563">
        <f>IF(K128=0,0,IF((VLOOKUP(A128,[1]!TOX,67,FALSE))=0,0,IF((VLOOKUP(A128,[1]!TOX,67,FALSE))&lt;0.5,0.2,1)))</f>
        <v>0</v>
      </c>
      <c r="R128" s="614">
        <f>IF(K128=0,IF(M128=0,0,('[1]Target Risk'!$D$8*(VLOOKUP(A128,[1]!TOX,4,FALSE))*(VLOOKUP(A128,[1]!TOX,37,FALSE)))/('GW-1 Exp'!$V$13*'GW-1 Derm'!$M128)),('[1]Target Risk'!$D$8*(VLOOKUP(A128,[1]!TOX,4,FALSE))*(VLOOKUP(A128,[1]!TOX,37,FALSE)))/('GW-1 Exp'!$J$18*'GW-1 Derm'!$Q128))</f>
        <v>1464.394937180215</v>
      </c>
      <c r="S128" s="574">
        <f>IF(OR(VLOOKUP(A128,[1]!TOX,12,FALSE)=0,VLOOKUP(A128,[1]!TOX,38,FALSE)=0),0,IF(K128=0,('[1]Target Risk'!$D$12*(VLOOKUP(A128,[1]!TOX,38,FALSE)))/('GW-1 Exp'!$V$21*'GW-1 Derm'!N128*(VLOOKUP(A128,[1]!TOX,12,FALSE))),IF(Q128=0,0,('[1]Target Risk'!$D$12*(VLOOKUP(A128,[1]!TOX,38,FALSE)))/('GW-1 Exp'!$J$26*'GW-1 Derm'!Q128*(VLOOKUP(A128,[1]!TOX,12,FALSE))))))</f>
        <v>0</v>
      </c>
      <c r="T128" s="573">
        <f>IF(OR(VLOOKUP(A128,[1]!TOX,12,FALSE)=0,VLOOKUP(A128,[1]!TOX,38,FALSE)=0),0,IF(NOT(VLOOKUP(A128,[1]!TOX,36,FALSE)="M"), IF(K128=0,('[1]Target Risk'!$D$12*(VLOOKUP(A128,[1]!TOX,38,FALSE)))/('GW-1 Exp'!$V$21*'GW-1 Derm'!N128*(VLOOKUP(A128,[1]!TOX,12,FALSE))),IF(Q128=0,0,('[1]Target Risk'!$D$12*(VLOOKUP(A128,[1]!TOX,38,FALSE)))/('GW-1 Exp'!$J$26*'GW-1 Derm'!Q128*(VLOOKUP(A128,[1]!TOX,12,FALSE))))), IF(K128=0,('[1]Target Risk'!$D$12*(VLOOKUP(A128,[1]!TOX,38,FALSE)))/(('GW-1 Exp'!$V$26*'GW-1 Derm'!AB128*(VLOOKUP(A128,[1]!TOX,12,FALSE))*10)+('GW-1 Exp'!$V$27*'GW-1 Derm'!AC128*(VLOOKUP(A128,[1]!TOX,12,FALSE))*3)+('GW-1 Exp'!$V$28*'GW-1 Derm'!AD128*(VLOOKUP(A128,[1]!TOX,12,FALSE))*3)+('GW-1 Exp'!$V$29*'GW-1 Derm'!AE128*(VLOOKUP(A128,[1]!TOX,12,FALSE))*1)),IF(Q128=0,0,(('[1]Target Risk'!$D$12*(VLOOKUP(A128,[1]!TOX,38,FALSE)))/(('GW-1 Exp'!$J$33*'GW-1 Derm'!Q128*(VLOOKUP(A128,[1]!TOX,12,FALSE))*10)+('GW-1 Exp'!$J$34*'GW-1 Derm'!Q128*(VLOOKUP(A128,[1]!TOX,12,FALSE))*3)+('GW-1 Exp'!$J$35*'GW-1 Derm'!Q128*(VLOOKUP(A128,[1]!TOX,12,FALSE))*3)+('GW-1 Exp'!$J$36*'GW-1 Derm'!Q128*(VLOOKUP(A128,[1]!TOX,12,FALSE))*1)))))))</f>
        <v>0</v>
      </c>
      <c r="AB128" s="838">
        <f>L128*IF('GW-1 Exp'!U$26&lt;=$E128,2*(VLOOKUP(A128,[1]!TOX,67,FALSE))*1*0.000001*SQRT(6*$C128*'GW-1 Exp'!$U$26/PI()),(VLOOKUP(A128,[1]!TOX,67,FALSE))*1*0.000001*('GW-1 Exp'!$U$26/(1+$B128)+2*$C128*(1+3*$B128+3*$B128^2)/(1+$B128)^2))</f>
        <v>6.2785633564936151E-8</v>
      </c>
      <c r="AC128" s="837">
        <f>L128*IF('GW-1 Exp'!U$27&lt;=$E128,2*(VLOOKUP(A128,[1]!TOX,67,FALSE))*1*0.000001*SQRT(6*$C128*'GW-1 Exp'!$U$27/PI()),(VLOOKUP(A128,[1]!TOX,67,FALSE))*1*0.000001*('GW-1 Exp'!$U$27/(1+$B128)+2*$C128*(1+3*$B128+3*$B128^2)/(1+$B128)^2))</f>
        <v>6.8128035546100082E-8</v>
      </c>
      <c r="AD128" s="837">
        <f>L128*IF('GW-1 Exp'!U$28&lt;=$E128,2*(VLOOKUP(A128,[1]!TOX,67,FALSE))*1*0.000001*SQRT(6*$C128*'GW-1 Exp'!$U$28/PI()),(VLOOKUP(A128,[1]!TOX,67,FALSE))*1*0.000001*('GW-1 Exp'!$U$28/(1+$B128)+2*$C128*(1+3*$B128+3*$B128^2)/(1+$B128)^2))</f>
        <v>7.1764050928808833E-8</v>
      </c>
      <c r="AE128" s="839">
        <f>L128*IF('GW-1 Exp'!U$29&lt;=$E128,2*(VLOOKUP(A128,[1]!TOX,67,FALSE))*1*0.000001*SQRT(6*$C128*'GW-1 Exp'!$U$29/PI()),(VLOOKUP(A128,[1]!TOX,67,FALSE))*1*0.000001*('GW-1 Exp'!$U$29/(1+$B128)+2*$C128*(1+3*$B128+3*$B128^2)/(1+$B128)^2))</f>
        <v>8.3357778841700504E-8</v>
      </c>
    </row>
    <row r="129" spans="1:31" ht="13" thickBot="1" x14ac:dyDescent="0.3">
      <c r="A129" s="544" t="s">
        <v>259</v>
      </c>
      <c r="B129" s="588">
        <f>(VLOOKUP(A129,[1]!TOX,67,FALSE))*(SQRT((VLOOKUP(A129,[1]!TOX,57,FALSE)))/2.6)</f>
        <v>1.8605210188381266E-3</v>
      </c>
      <c r="C129" s="599">
        <f>('GW-1 Exp'!$O$29^2)/(6*D129)</f>
        <v>0.24313571004589141</v>
      </c>
      <c r="D129" s="570">
        <f>10^(-2.8-(0.0056*(VLOOKUP(A129,[1]!TOX,57,FALSE))))*'GW-1 Exp'!$O$29</f>
        <v>6.854882264526615E-7</v>
      </c>
      <c r="E129" s="600">
        <f t="shared" si="5"/>
        <v>0.58352570411013938</v>
      </c>
      <c r="F129" s="600">
        <f>IF(B129&lt;=0.6,0,(G129-SQRT(G129^2-H129^2))*('GW-1 Exp'!$O$29^2/D129))</f>
        <v>0</v>
      </c>
      <c r="G129" s="583">
        <f t="shared" si="6"/>
        <v>0.30441603260379346</v>
      </c>
      <c r="H129" s="601">
        <f t="shared" si="7"/>
        <v>0.33457483238261099</v>
      </c>
      <c r="I129" s="856">
        <f>(VLOOKUP(A129,[1]!TOX,67,FALSE))*1*0.000001*'GW-1 Exp'!$U$13</f>
        <v>3.5571428571428567E-10</v>
      </c>
      <c r="J129" s="857">
        <f>(VLOOKUP(A129,[1]!TOX,67,FALSE))*1*0.000001*'GW-1 Exp'!$U$21</f>
        <v>4.5933333333333325E-10</v>
      </c>
      <c r="K129" s="557"/>
      <c r="L129" s="555">
        <v>1</v>
      </c>
      <c r="M129" s="556">
        <f t="shared" si="8"/>
        <v>3.5571428571428567E-10</v>
      </c>
      <c r="N129" s="552">
        <f t="shared" si="9"/>
        <v>4.5933333333333325E-10</v>
      </c>
      <c r="O129" s="570" t="str">
        <f>IF(VLOOKUP(A129,[1]!TOX,81,FALSE)="Y","Inorganic",IF(K129="*","Streamlined",IF($E129=0,"Reduced Steady State",IF('GW-1 Exp'!$U$13&lt;=$E129,"Non-Steady State","Steady State"))))</f>
        <v>Inorganic</v>
      </c>
      <c r="P129" s="565" t="str">
        <f>IF(VLOOKUP(A129,[1]!TOX,81,FALSE)="Y","Inorganic",IF(K129="*","Streamlined",IF($E129=0,0,IF('GW-1 Exp'!$U$21&lt;=$E129,"Non-Steady State","Steady State"))))</f>
        <v>Inorganic</v>
      </c>
      <c r="Q129" s="564">
        <f>IF(K129=0,0,IF((VLOOKUP(A129,[1]!TOX,67,FALSE))=0,0,IF((VLOOKUP(A129,[1]!TOX,67,FALSE))&lt;0.5,0.2,1)))</f>
        <v>0</v>
      </c>
      <c r="R129" s="615">
        <f>IF(K129=0,IF(M129=0,0,('[1]Target Risk'!$D$8*(VLOOKUP(A129,[1]!TOX,4,FALSE))*(VLOOKUP(A129,[1]!TOX,37,FALSE)))/('GW-1 Exp'!$V$13*'GW-1 Derm'!$M129)),('[1]Target Risk'!$D$8*(VLOOKUP(A129,[1]!TOX,4,FALSE))*(VLOOKUP(A129,[1]!TOX,37,FALSE)))/('GW-1 Exp'!$J$18*'GW-1 Derm'!$Q129))</f>
        <v>191045.18219305421</v>
      </c>
      <c r="S129" s="576">
        <f>IF(OR(VLOOKUP(A129,[1]!TOX,12,FALSE)=0,VLOOKUP(A129,[1]!TOX,38,FALSE)=0),0,IF(K129=0,('[1]Target Risk'!$D$12*(VLOOKUP(A129,[1]!TOX,38,FALSE)))/('GW-1 Exp'!$V$21*'GW-1 Derm'!N129*(VLOOKUP(A129,[1]!TOX,12,FALSE))),IF(Q129=0,0,('[1]Target Risk'!$D$12*(VLOOKUP(A129,[1]!TOX,38,FALSE)))/('GW-1 Exp'!$J$26*'GW-1 Derm'!Q129*(VLOOKUP(A129,[1]!TOX,12,FALSE))))))</f>
        <v>0</v>
      </c>
      <c r="T129" s="577">
        <f>IF(OR(VLOOKUP(A129,[1]!TOX,12,FALSE)=0,VLOOKUP(A129,[1]!TOX,38,FALSE)=0),0,IF(NOT(VLOOKUP(A129,[1]!TOX,36,FALSE)="M"), IF(K129=0,('[1]Target Risk'!$D$12*(VLOOKUP(A129,[1]!TOX,38,FALSE)))/('GW-1 Exp'!$V$21*'GW-1 Derm'!N129*(VLOOKUP(A129,[1]!TOX,12,FALSE))),IF(Q129=0,0,('[1]Target Risk'!$D$12*(VLOOKUP(A129,[1]!TOX,38,FALSE)))/('GW-1 Exp'!$J$26*'GW-1 Derm'!Q129*(VLOOKUP(A129,[1]!TOX,12,FALSE))))), IF(K129=0,('[1]Target Risk'!$D$12*(VLOOKUP(A129,[1]!TOX,38,FALSE)))/(('GW-1 Exp'!$V$26*'GW-1 Derm'!AB129*(VLOOKUP(A129,[1]!TOX,12,FALSE))*10)+('GW-1 Exp'!$V$27*'GW-1 Derm'!AC129*(VLOOKUP(A129,[1]!TOX,12,FALSE))*3)+('GW-1 Exp'!$V$28*'GW-1 Derm'!AD129*(VLOOKUP(A129,[1]!TOX,12,FALSE))*3)+('GW-1 Exp'!$V$29*'GW-1 Derm'!AE129*(VLOOKUP(A129,[1]!TOX,12,FALSE))*1)),IF(Q129=0,0,(('[1]Target Risk'!$D$12*(VLOOKUP(A129,[1]!TOX,38,FALSE)))/(('GW-1 Exp'!$J$33*'GW-1 Derm'!Q129*(VLOOKUP(A129,[1]!TOX,12,FALSE))*10)+('GW-1 Exp'!$J$34*'GW-1 Derm'!Q129*(VLOOKUP(A129,[1]!TOX,12,FALSE))*3)+('GW-1 Exp'!$J$35*'GW-1 Derm'!Q129*(VLOOKUP(A129,[1]!TOX,12,FALSE))*3)+('GW-1 Exp'!$J$36*'GW-1 Derm'!Q129*(VLOOKUP(A129,[1]!TOX,12,FALSE))*1)))))))</f>
        <v>0</v>
      </c>
      <c r="AB129" s="845">
        <f>L129*IF('GW-1 Exp'!U$26&lt;=$E129,2*(VLOOKUP(A129,[1]!TOX,67,FALSE))*1*0.000001*SQRT(6*$C129*'GW-1 Exp'!$U$26/PI()),(VLOOKUP(A129,[1]!TOX,67,FALSE))*1*0.000001*('GW-1 Exp'!$U$26/(1+$B129)+2*$C129*(1+3*$B129+3*$B129^2)/(1+$B129)^2))</f>
        <v>5.8777557014284233E-10</v>
      </c>
      <c r="AC129" s="846">
        <f>L129*IF('GW-1 Exp'!U$27&lt;=$E129,2*(VLOOKUP(A129,[1]!TOX,67,FALSE))*1*0.000001*SQRT(6*$C129*'GW-1 Exp'!$U$27/PI()),(VLOOKUP(A129,[1]!TOX,67,FALSE))*1*0.000001*('GW-1 Exp'!$U$27/(1+$B129)+2*$C129*(1+3*$B129+3*$B129^2)/(1+$B129)^2))</f>
        <v>6.5662785204510788E-10</v>
      </c>
      <c r="AD129" s="846">
        <f>L129*IF('GW-1 Exp'!U$28&lt;=$E129,2*(VLOOKUP(A129,[1]!TOX,67,FALSE))*1*0.000001*SQRT(6*$C129*'GW-1 Exp'!$U$28/PI()),(VLOOKUP(A129,[1]!TOX,67,FALSE))*1*0.000001*('GW-1 Exp'!$U$28/(1+$B129)+2*$C129*(1+3*$B129+3*$B129^2)/(1+$B129)^2))</f>
        <v>6.9655356940876068E-10</v>
      </c>
      <c r="AE129" s="847">
        <f>L129*IF('GW-1 Exp'!U$29&lt;=$E129,2*(VLOOKUP(A129,[1]!TOX,67,FALSE))*1*0.000001*SQRT(6*$C129*'GW-1 Exp'!$U$29/PI()),(VLOOKUP(A129,[1]!TOX,67,FALSE))*1*0.000001*('GW-1 Exp'!$U$29/(1+$B129)+2*$C129*(1+3*$B129+3*$B129^2)/(1+$B129)^2))</f>
        <v>8.3771949865881838E-10</v>
      </c>
    </row>
    <row r="130" spans="1:31" ht="14.5" thickTop="1" x14ac:dyDescent="0.25">
      <c r="A130" s="545"/>
    </row>
  </sheetData>
  <sheetProtection sheet="1" objects="1" scenarios="1"/>
  <mergeCells count="16">
    <mergeCell ref="AB4:AE4"/>
    <mergeCell ref="AB3:AE3"/>
    <mergeCell ref="O4:P4"/>
    <mergeCell ref="O5:P5"/>
    <mergeCell ref="R3:T3"/>
    <mergeCell ref="A1:A4"/>
    <mergeCell ref="R1:T1"/>
    <mergeCell ref="M1:N1"/>
    <mergeCell ref="M4:N4"/>
    <mergeCell ref="I3:J3"/>
    <mergeCell ref="I5:J5"/>
    <mergeCell ref="I2:J2"/>
    <mergeCell ref="I4:J4"/>
    <mergeCell ref="M2:N2"/>
    <mergeCell ref="M3:N3"/>
    <mergeCell ref="M5:N5"/>
  </mergeCells>
  <phoneticPr fontId="0" type="noConversion"/>
  <pageMargins left="0.5" right="0.5" top="1" bottom="1" header="0.5" footer="0.4"/>
  <pageSetup scale="80" pageOrder="overThenDown" orientation="landscape" r:id="rId1"/>
  <headerFooter>
    <oddHeader>&amp;C&amp;"Arial,Bold"MCP Numerical Standards Derivation</oddHeader>
    <oddFooter>&amp;L&amp;"Arial,Regular"&amp;8MassDEP&amp;C&amp;"Arial,Regular"&amp;8 2024&amp;R&amp;"Arial,Regular"&amp;8Workbbook: &amp;F
Sheet:  Introduction
Page &amp;P of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30"/>
  <sheetViews>
    <sheetView showGridLines="0" showZeros="0" zoomScaleNormal="100" workbookViewId="0">
      <pane xSplit="1" ySplit="6" topLeftCell="G7" activePane="bottomRight" state="frozen"/>
      <selection activeCell="C3" sqref="C3"/>
      <selection pane="topRight" activeCell="C3" sqref="C3"/>
      <selection pane="bottomLeft" activeCell="C3" sqref="C3"/>
      <selection pane="bottomRight" activeCell="A7" sqref="A7"/>
    </sheetView>
  </sheetViews>
  <sheetFormatPr defaultColWidth="9" defaultRowHeight="10" x14ac:dyDescent="0.25"/>
  <cols>
    <col min="1" max="1" width="31.4140625" style="94" customWidth="1"/>
    <col min="2" max="2" width="12.9140625" style="94" bestFit="1" customWidth="1"/>
    <col min="3" max="5" width="9.58203125" style="94" bestFit="1" customWidth="1"/>
    <col min="6" max="7" width="9.9140625" style="94" bestFit="1" customWidth="1"/>
    <col min="8" max="8" width="9.6640625" style="94" bestFit="1" customWidth="1"/>
    <col min="9" max="9" width="12.6640625" style="94" bestFit="1" customWidth="1"/>
    <col min="10" max="10" width="10.33203125" style="94" customWidth="1"/>
    <col min="11" max="11" width="11.08203125" style="94" customWidth="1"/>
    <col min="12" max="12" width="11.58203125" style="94" customWidth="1"/>
    <col min="13" max="13" width="8.33203125" style="94" bestFit="1" customWidth="1"/>
    <col min="14" max="14" width="13.6640625" style="94" bestFit="1" customWidth="1"/>
    <col min="15" max="15" width="13.25" style="94" bestFit="1" customWidth="1"/>
    <col min="16" max="16384" width="9" style="94"/>
  </cols>
  <sheetData>
    <row r="1" spans="1:15" ht="18.649999999999999" customHeight="1" thickTop="1" x14ac:dyDescent="0.25">
      <c r="A1" s="439"/>
      <c r="B1" s="440"/>
      <c r="C1" s="440"/>
      <c r="D1" s="935" t="s">
        <v>419</v>
      </c>
      <c r="E1" s="936"/>
      <c r="F1" s="936"/>
      <c r="G1" s="936"/>
      <c r="H1" s="936"/>
      <c r="I1" s="937"/>
      <c r="J1" s="441"/>
      <c r="K1" s="442"/>
      <c r="L1" s="442"/>
      <c r="M1" s="929" t="s">
        <v>25</v>
      </c>
      <c r="N1" s="930"/>
      <c r="O1" s="931"/>
    </row>
    <row r="2" spans="1:15" ht="14" x14ac:dyDescent="0.25">
      <c r="A2" s="56" t="s">
        <v>365</v>
      </c>
      <c r="B2" s="443" t="s">
        <v>312</v>
      </c>
      <c r="C2" s="443"/>
      <c r="D2" s="460" t="s">
        <v>405</v>
      </c>
      <c r="E2" s="444" t="s">
        <v>409</v>
      </c>
      <c r="F2" s="444" t="s">
        <v>421</v>
      </c>
      <c r="G2" s="444" t="s">
        <v>285</v>
      </c>
      <c r="H2" s="444" t="s">
        <v>17</v>
      </c>
      <c r="I2" s="461" t="s">
        <v>21</v>
      </c>
      <c r="J2" s="89" t="s">
        <v>289</v>
      </c>
      <c r="K2" s="445" t="s">
        <v>289</v>
      </c>
      <c r="L2" s="445" t="s">
        <v>289</v>
      </c>
      <c r="M2" s="932" t="s">
        <v>26</v>
      </c>
      <c r="N2" s="933"/>
      <c r="O2" s="934"/>
    </row>
    <row r="3" spans="1:15" ht="14" x14ac:dyDescent="0.25">
      <c r="A3" s="56" t="s">
        <v>366</v>
      </c>
      <c r="B3" s="443" t="s">
        <v>313</v>
      </c>
      <c r="C3" s="443" t="s">
        <v>367</v>
      </c>
      <c r="D3" s="460" t="s">
        <v>424</v>
      </c>
      <c r="E3" s="444" t="s">
        <v>424</v>
      </c>
      <c r="F3" s="444" t="s">
        <v>422</v>
      </c>
      <c r="G3" s="444" t="s">
        <v>422</v>
      </c>
      <c r="H3" s="444" t="s">
        <v>18</v>
      </c>
      <c r="I3" s="461" t="s">
        <v>22</v>
      </c>
      <c r="J3" s="89" t="s">
        <v>278</v>
      </c>
      <c r="K3" s="445" t="s">
        <v>278</v>
      </c>
      <c r="L3" s="445" t="s">
        <v>278</v>
      </c>
      <c r="M3" s="932"/>
      <c r="N3" s="933"/>
      <c r="O3" s="934"/>
    </row>
    <row r="4" spans="1:15" ht="20" x14ac:dyDescent="0.25">
      <c r="A4" s="446"/>
      <c r="B4" s="443" t="s">
        <v>314</v>
      </c>
      <c r="C4" s="443" t="s">
        <v>368</v>
      </c>
      <c r="D4" s="460" t="s">
        <v>408</v>
      </c>
      <c r="E4" s="444" t="s">
        <v>408</v>
      </c>
      <c r="F4" s="444" t="s">
        <v>423</v>
      </c>
      <c r="G4" s="444" t="s">
        <v>423</v>
      </c>
      <c r="H4" s="444" t="s">
        <v>19</v>
      </c>
      <c r="I4" s="461" t="s">
        <v>292</v>
      </c>
      <c r="J4" s="89" t="s">
        <v>27</v>
      </c>
      <c r="K4" s="445" t="s">
        <v>1037</v>
      </c>
      <c r="L4" s="445" t="s">
        <v>907</v>
      </c>
      <c r="M4" s="447" t="s">
        <v>27</v>
      </c>
      <c r="N4" s="72" t="s">
        <v>311</v>
      </c>
      <c r="O4" s="448" t="s">
        <v>348</v>
      </c>
    </row>
    <row r="5" spans="1:15" ht="21" x14ac:dyDescent="0.25">
      <c r="A5" s="446"/>
      <c r="B5" s="443" t="s">
        <v>443</v>
      </c>
      <c r="C5" s="443" t="s">
        <v>444</v>
      </c>
      <c r="D5" s="460" t="s">
        <v>303</v>
      </c>
      <c r="E5" s="444" t="s">
        <v>425</v>
      </c>
      <c r="F5" s="444" t="s">
        <v>420</v>
      </c>
      <c r="G5" s="444" t="s">
        <v>426</v>
      </c>
      <c r="H5" s="444" t="s">
        <v>16</v>
      </c>
      <c r="I5" s="461" t="s">
        <v>20</v>
      </c>
      <c r="J5" s="89" t="s">
        <v>427</v>
      </c>
      <c r="K5" s="445" t="s">
        <v>427</v>
      </c>
      <c r="L5" s="445" t="s">
        <v>427</v>
      </c>
      <c r="M5" s="449" t="s">
        <v>350</v>
      </c>
      <c r="N5" s="764" t="s">
        <v>984</v>
      </c>
      <c r="O5" s="450" t="s">
        <v>939</v>
      </c>
    </row>
    <row r="6" spans="1:15" ht="12.5" thickBot="1" x14ac:dyDescent="0.3">
      <c r="A6" s="776" t="s">
        <v>1057</v>
      </c>
      <c r="B6" s="451" t="s">
        <v>315</v>
      </c>
      <c r="C6" s="451" t="s">
        <v>316</v>
      </c>
      <c r="D6" s="462" t="s">
        <v>404</v>
      </c>
      <c r="E6" s="452" t="s">
        <v>404</v>
      </c>
      <c r="F6" s="452" t="s">
        <v>404</v>
      </c>
      <c r="G6" s="452" t="s">
        <v>404</v>
      </c>
      <c r="H6" s="452" t="s">
        <v>15</v>
      </c>
      <c r="I6" s="463" t="s">
        <v>1032</v>
      </c>
      <c r="J6" s="453" t="s">
        <v>1033</v>
      </c>
      <c r="K6" s="454" t="s">
        <v>1033</v>
      </c>
      <c r="L6" s="454" t="s">
        <v>1033</v>
      </c>
      <c r="M6" s="455" t="s">
        <v>270</v>
      </c>
      <c r="N6" s="456" t="s">
        <v>157</v>
      </c>
      <c r="O6" s="457" t="s">
        <v>157</v>
      </c>
    </row>
    <row r="7" spans="1:15" x14ac:dyDescent="0.25">
      <c r="A7" s="499" t="s">
        <v>158</v>
      </c>
      <c r="B7" s="500">
        <f>(VLOOKUP(A7,[1]!TOX,54,FALSE))</f>
        <v>1.84E-4</v>
      </c>
      <c r="C7" s="501">
        <f>(VLOOKUP(A7,[1]!TOX,57,FALSE))</f>
        <v>154</v>
      </c>
      <c r="D7" s="502">
        <f>IF(C7=0,0,'GW-1 Exp'!$F$58*(18/C7)^0.5)</f>
        <v>1025.6451881367416</v>
      </c>
      <c r="E7" s="503">
        <f>IF(C7=0,0,'GW-1 Exp'!$G$58*(44/C7)^0.5)</f>
        <v>10.690449676496975</v>
      </c>
      <c r="F7" s="503">
        <f>IF(B7*D7=0,0,((1/E7)+(('GW-1 Exp'!$E$58*'GW-1 Exp'!$M$58)/(B7*D7)))^-1)</f>
        <v>4.5279067915271813</v>
      </c>
      <c r="G7" s="503">
        <f>F7*(('GW-1 Exp'!$H$58*'GW-1 Exp'!$J$58)/('GW-1 Exp'!$N$58*'GW-1 Exp'!$I$58))^-0.5</f>
        <v>6.1162884488807423</v>
      </c>
      <c r="H7" s="503">
        <f>(1-EXP((-1*G7*'GW-1 Exp'!$D$58)/(60*'GW-1 Exp'!$C$58)))</f>
        <v>0.18443673489573742</v>
      </c>
      <c r="I7" s="504">
        <f>H7*'GW-1 Exp'!$P$58/'GW-1 Exp'!$Q$58</f>
        <v>0.30739455815956235</v>
      </c>
      <c r="J7" s="505">
        <f>(('GW-1 Inhale'!$I7)/('GW-1 Exp'!$R$58))*('GW-1 Exp'!$S$48+(EXP(-1*'GW-1 Exp'!$R$58*'GW-1 Exp'!$T$48)/'GW-1 Exp'!$R$58)-(EXP('GW-1 Exp'!$R$58*('GW-1 Exp'!$S$48-'GW-1 Exp'!$T$48))/'GW-1 Exp'!$R$58))*('GW-1 Exp'!$U$48*'GW-1 Exp'!$V$48*'GW-1 Exp'!$W$48*'GW-1 Exp'!$X$48*'GW-1 Exp'!$AB$58/'GW-1 Exp'!$Y$48)</f>
        <v>0.20124254405916903</v>
      </c>
      <c r="K7" s="506">
        <f>(('GW-1 Inhale'!$I7)/('GW-1 Exp'!$R$58))*('GW-1 Exp'!$S$56+(EXP(-1*'GW-1 Exp'!$R$58*'GW-1 Exp'!$T$56)/'GW-1 Exp'!$R$58)-(EXP('GW-1 Exp'!$R$58*('GW-1 Exp'!$S$56-'GW-1 Exp'!$T$56))/'GW-1 Exp'!$R$58))*('GW-1 Exp'!$U$56*'GW-1 Exp'!$V$56*'GW-1 Exp'!$W$56*'GW-1 Exp'!$X$56*'GW-1 Exp'!$AB$58/'GW-1 Exp'!$Y$56)</f>
        <v>0.14785513592216473</v>
      </c>
      <c r="L7" s="506">
        <f xml:space="preserve"> IF(VLOOKUP(A7,[1]!TOX,36,FALSE)="M",((((('GW-1 Inhale'!$I7)/('GW-1 Exp'!$R$63))*('GW-1 Exp'!$S$63+(EXP(-1*'GW-1 Exp'!$R$63*'GW-1 Exp'!$T$63)/'GW-1 Exp'!$R$63)-(EXP('GW-1 Exp'!$R$63*('GW-1 Exp'!$S$63-'GW-1 Exp'!$T$63))/'GW-1 Exp'!$R$63))*('GW-1 Exp'!$U$63*'GW-1 Exp'!$V$63*'GW-1 Exp'!$W$63*'GW-1 Exp'!$X$63*'GW-1 Exp'!$AB$63/'GW-1 Exp'!$Y$63)*10))+(((('GW-1 Inhale'!$I7)/('GW-1 Exp'!$R$64))*('GW-1 Exp'!$S$64+(EXP(-1*'GW-1 Exp'!$R$64*'GW-1 Exp'!$T$64)/'GW-1 Exp'!$R$64)-(EXP('GW-1 Exp'!$R$64*('GW-1 Exp'!$S$64-'GW-1 Exp'!$T$64))/'GW-1 Exp'!$R$64))*('GW-1 Exp'!$U$64*'GW-1 Exp'!$V$64*'GW-1 Exp'!$W$64*'GW-1 Exp'!$X$64*'GW-1 Exp'!$AB$64/'GW-1 Exp'!$Y$64))*3)+(((('GW-1 Inhale'!$I7)/('GW-1 Exp'!$R$65))*('GW-1 Exp'!$S$65+(EXP(-1*'GW-1 Exp'!$R$65*'GW-1 Exp'!$T$65)/'GW-1 Exp'!$R$65)-(EXP('GW-1 Exp'!$R$65*('GW-1 Exp'!$S$65-'GW-1 Exp'!$T$65))/'GW-1 Exp'!$R$65))*('GW-1 Exp'!$U$65*'GW-1 Exp'!$V$65*'GW-1 Exp'!$W$65*'GW-1 Exp'!$X$65*'GW-1 Exp'!$AB$65/'GW-1 Exp'!$Y$65))*3)+(((('GW-1 Inhale'!$I7)/('GW-1 Exp'!$R$66))*('GW-1 Exp'!$S$66+(EXP(-1*'GW-1 Exp'!$R$66*'GW-1 Exp'!$T$66)/'GW-1 Exp'!$R$66)-(EXP('GW-1 Exp'!$R$66*('GW-1 Exp'!$S$66-'GW-1 Exp'!$T$66))/'GW-1 Exp'!$R$66))*('GW-1 Exp'!$U$66*'GW-1 Exp'!$V$66*'GW-1 Exp'!$W$66*'GW-1 Exp'!$X$66*'GW-1 Exp'!$AB$66/'GW-1 Exp'!$Y$66))*1)),0)</f>
        <v>0</v>
      </c>
      <c r="M7" s="507">
        <f>IF(OR((VLOOKUP(A7,[1]!TOX,8,FALSE))=0,J7=0),0,'[1]Target Risk'!$D$8*(VLOOKUP(A7,[1]!TOX,8,FALSE))*'GW-1 Exp'!$Z$58/(VLOOKUP(A7,DWInhale,10,FALSE)))</f>
        <v>49.691281964015609</v>
      </c>
      <c r="N7" s="508">
        <f>IF(OR(K7=0,(VLOOKUP(A7,[1]!TOX,15,FALSE))=0),0,IF(VLOOKUP(A7,[1]!TOX,36,FALSE)="M",'[1]Target Risk'!$D$12/((VLOOKUP(A7,[1]!TOX,15,FALSE))*(VLOOKUP(A7,DWInhale,12,FALSE))), '[1]Target Risk'!$D$12/((VLOOKUP(A7,[1]!TOX,15,FALSE))*(VLOOKUP(A7,DWInhale,11,FALSE)))))</f>
        <v>0</v>
      </c>
      <c r="O7" s="509">
        <f>IF(OR(VLOOKUP(A7,[1]!TOX,15,FALSE)=0, NOT(VLOOKUP(A7,[1]!TOX,36,FALSE)="M")),0,'[1]Target Risk'!$D$12/(VLOOKUP(A7,[1]!TOX,15,FALSE)*VLOOKUP(A7,DWInhale,12,FALSE)))</f>
        <v>0</v>
      </c>
    </row>
    <row r="8" spans="1:15" x14ac:dyDescent="0.25">
      <c r="A8" s="510" t="s">
        <v>159</v>
      </c>
      <c r="B8" s="511">
        <f>(VLOOKUP(A8,[1]!TOX,54,FALSE))</f>
        <v>1.1400000000000001E-4</v>
      </c>
      <c r="C8" s="512">
        <f>(VLOOKUP(A8,[1]!TOX,57,FALSE))</f>
        <v>154</v>
      </c>
      <c r="D8" s="513">
        <f>IF(C8=0,0,'GW-1 Exp'!$F$58*(18/C8)^0.5)</f>
        <v>1025.6451881367416</v>
      </c>
      <c r="E8" s="514">
        <f>IF(C8=0,0,'GW-1 Exp'!$G$58*(44/C8)^0.5)</f>
        <v>10.690449676496975</v>
      </c>
      <c r="F8" s="514">
        <f>IF(B8*D8=0,0,((1/E8)+(('GW-1 Exp'!$E$58*'GW-1 Exp'!$M$58)/(B8*D8)))^-1)</f>
        <v>3.3441893853939302</v>
      </c>
      <c r="G8" s="514">
        <f>F8*(('GW-1 Exp'!$H$58*'GW-1 Exp'!$J$58)/('GW-1 Exp'!$N$58*'GW-1 Exp'!$I$58))^-0.5</f>
        <v>4.5173250798865734</v>
      </c>
      <c r="H8" s="514">
        <f>(1-EXP((-1*G8*'GW-1 Exp'!$D$58)/(60*'GW-1 Exp'!$C$58)))</f>
        <v>0.13978894122385144</v>
      </c>
      <c r="I8" s="515">
        <f>H8*'GW-1 Exp'!$P$58/'GW-1 Exp'!$Q$58</f>
        <v>0.23298156870641906</v>
      </c>
      <c r="J8" s="516">
        <f>(('GW-1 Inhale'!$I8)/('GW-1 Exp'!$R$58))*('GW-1 Exp'!$S$48+(EXP(-1*'GW-1 Exp'!$R$58*'GW-1 Exp'!$T$48)/'GW-1 Exp'!$R$58)-(EXP('GW-1 Exp'!$R$58*('GW-1 Exp'!$S$48-'GW-1 Exp'!$T$48))/'GW-1 Exp'!$R$58))*('GW-1 Exp'!$U$48*'GW-1 Exp'!$V$48*'GW-1 Exp'!$W$48*'GW-1 Exp'!$X$48*'GW-1 Exp'!$AB$58/'GW-1 Exp'!$Y$48)</f>
        <v>0.15252645943406187</v>
      </c>
      <c r="K8" s="517">
        <f>(('GW-1 Inhale'!$I8)/('GW-1 Exp'!$R$58))*('GW-1 Exp'!$S$56+(EXP(-1*'GW-1 Exp'!$R$58*'GW-1 Exp'!$T$56)/'GW-1 Exp'!$R$58)-(EXP('GW-1 Exp'!$R$58*('GW-1 Exp'!$S$56-'GW-1 Exp'!$T$56))/'GW-1 Exp'!$R$58))*('GW-1 Exp'!$U$56*'GW-1 Exp'!$V$56*'GW-1 Exp'!$W$56*'GW-1 Exp'!$X$56*'GW-1 Exp'!$AB$58/'GW-1 Exp'!$Y$56)</f>
        <v>0.11206288658683976</v>
      </c>
      <c r="L8" s="517">
        <f xml:space="preserve"> IF(VLOOKUP(A8,[1]!TOX,36,FALSE)="M",((((('GW-1 Inhale'!$I8)/('GW-1 Exp'!$R$63))*('GW-1 Exp'!$S$63+(EXP(-1*'GW-1 Exp'!$R$63*'GW-1 Exp'!$T$63)/'GW-1 Exp'!$R$63)-(EXP('GW-1 Exp'!$R$63*('GW-1 Exp'!$S$63-'GW-1 Exp'!$T$63))/'GW-1 Exp'!$R$63))*('GW-1 Exp'!$U$63*'GW-1 Exp'!$V$63*'GW-1 Exp'!$W$63*'GW-1 Exp'!$X$63*'GW-1 Exp'!$AB$63/'GW-1 Exp'!$Y$63)*10))+(((('GW-1 Inhale'!$I8)/('GW-1 Exp'!$R$64))*('GW-1 Exp'!$S$64+(EXP(-1*'GW-1 Exp'!$R$64*'GW-1 Exp'!$T$64)/'GW-1 Exp'!$R$64)-(EXP('GW-1 Exp'!$R$64*('GW-1 Exp'!$S$64-'GW-1 Exp'!$T$64))/'GW-1 Exp'!$R$64))*('GW-1 Exp'!$U$64*'GW-1 Exp'!$V$64*'GW-1 Exp'!$W$64*'GW-1 Exp'!$X$64*'GW-1 Exp'!$AB$64/'GW-1 Exp'!$Y$64))*3)+(((('GW-1 Inhale'!$I8)/('GW-1 Exp'!$R$65))*('GW-1 Exp'!$S$65+(EXP(-1*'GW-1 Exp'!$R$65*'GW-1 Exp'!$T$65)/'GW-1 Exp'!$R$65)-(EXP('GW-1 Exp'!$R$65*('GW-1 Exp'!$S$65-'GW-1 Exp'!$T$65))/'GW-1 Exp'!$R$65))*('GW-1 Exp'!$U$65*'GW-1 Exp'!$V$65*'GW-1 Exp'!$W$65*'GW-1 Exp'!$X$65*'GW-1 Exp'!$AB$65/'GW-1 Exp'!$Y$65))*3)+(((('GW-1 Inhale'!$I8)/('GW-1 Exp'!$R$66))*('GW-1 Exp'!$S$66+(EXP(-1*'GW-1 Exp'!$R$66*'GW-1 Exp'!$T$66)/'GW-1 Exp'!$R$66)-(EXP('GW-1 Exp'!$R$66*('GW-1 Exp'!$S$66-'GW-1 Exp'!$T$66))/'GW-1 Exp'!$R$66))*('GW-1 Exp'!$U$66*'GW-1 Exp'!$V$66*'GW-1 Exp'!$W$66*'GW-1 Exp'!$X$66*'GW-1 Exp'!$AB$66/'GW-1 Exp'!$Y$66))*1)),0)</f>
        <v>0</v>
      </c>
      <c r="M8" s="518">
        <f>IF(OR((VLOOKUP(A8,[1]!TOX,8,FALSE))=0,J8=0),0,'[1]Target Risk'!$D$8*(VLOOKUP(A8,[1]!TOX,8,FALSE))*'GW-1 Exp'!$Z$58/(VLOOKUP(A8,DWInhale,10,FALSE)))</f>
        <v>65.562395122159529</v>
      </c>
      <c r="N8" s="519">
        <f>IF(OR(K8=0,(VLOOKUP(A8,[1]!TOX,15,FALSE))=0),0,IF(VLOOKUP(A8,[1]!TOX,36,FALSE)="M",'[1]Target Risk'!$D$12/((VLOOKUP(A8,[1]!TOX,15,FALSE))*(VLOOKUP(A8,DWInhale,12,FALSE))), '[1]Target Risk'!$D$12/((VLOOKUP(A8,[1]!TOX,15,FALSE))*(VLOOKUP(A8,DWInhale,11,FALSE)))))</f>
        <v>0</v>
      </c>
      <c r="O8" s="520">
        <f>IF(OR(VLOOKUP(A8,[1]!TOX,15,FALSE)=0, NOT(VLOOKUP(A8,[1]!TOX,36,FALSE)="M")),0,'[1]Target Risk'!$D$12/(VLOOKUP(A8,[1]!TOX,15,FALSE)*VLOOKUP(A8,DWInhale,12,FALSE)))</f>
        <v>0</v>
      </c>
    </row>
    <row r="9" spans="1:15" x14ac:dyDescent="0.25">
      <c r="A9" s="510" t="s">
        <v>160</v>
      </c>
      <c r="B9" s="511">
        <f>(VLOOKUP(A9,[1]!TOX,54,FALSE))</f>
        <v>3.9700000000000003E-5</v>
      </c>
      <c r="C9" s="512">
        <f>(VLOOKUP(A9,[1]!TOX,57,FALSE))</f>
        <v>58</v>
      </c>
      <c r="D9" s="513">
        <f>IF(C9=0,0,'GW-1 Exp'!$F$58*(18/C9)^0.5)</f>
        <v>1671.2580435934667</v>
      </c>
      <c r="E9" s="514">
        <f>IF(C9=0,0,'GW-1 Exp'!$G$58*(44/C9)^0.5)</f>
        <v>17.419766814227707</v>
      </c>
      <c r="F9" s="514">
        <f>IF(B9*D9=0,0,((1/E9)+(('GW-1 Exp'!$E$58*'GW-1 Exp'!$M$58)/(B9*D9)))^-1)</f>
        <v>2.3836661631929088</v>
      </c>
      <c r="G9" s="514">
        <f>F9*(('GW-1 Exp'!$H$58*'GW-1 Exp'!$J$58)/('GW-1 Exp'!$N$58*'GW-1 Exp'!$I$58))^-0.5</f>
        <v>3.219852017980116</v>
      </c>
      <c r="H9" s="514">
        <f>(1-EXP((-1*G9*'GW-1 Exp'!$D$58)/(60*'GW-1 Exp'!$C$58)))</f>
        <v>0.1017693549328994</v>
      </c>
      <c r="I9" s="515">
        <f>H9*'GW-1 Exp'!$P$58/'GW-1 Exp'!$Q$58</f>
        <v>0.16961559155483233</v>
      </c>
      <c r="J9" s="516">
        <f>(('GW-1 Inhale'!$I9)/('GW-1 Exp'!$R$58))*('GW-1 Exp'!$S$48+(EXP(-1*'GW-1 Exp'!$R$58*'GW-1 Exp'!$T$48)/'GW-1 Exp'!$R$58)-(EXP('GW-1 Exp'!$R$58*('GW-1 Exp'!$S$48-'GW-1 Exp'!$T$48))/'GW-1 Exp'!$R$58))*('GW-1 Exp'!$U$48*'GW-1 Exp'!$V$48*'GW-1 Exp'!$W$48*'GW-1 Exp'!$X$48*'GW-1 Exp'!$AB$58/'GW-1 Exp'!$Y$48)</f>
        <v>0.11104254207023782</v>
      </c>
      <c r="K9" s="517">
        <f>(('GW-1 Inhale'!$I9)/('GW-1 Exp'!$R$58))*('GW-1 Exp'!$S$56+(EXP(-1*'GW-1 Exp'!$R$58*'GW-1 Exp'!$T$56)/'GW-1 Exp'!$R$58)-(EXP('GW-1 Exp'!$R$58*('GW-1 Exp'!$S$56-'GW-1 Exp'!$T$56))/'GW-1 Exp'!$R$58))*('GW-1 Exp'!$U$56*'GW-1 Exp'!$V$56*'GW-1 Exp'!$W$56*'GW-1 Exp'!$X$56*'GW-1 Exp'!$AB$58/'GW-1 Exp'!$Y$56)</f>
        <v>8.1584190995470873E-2</v>
      </c>
      <c r="L9" s="517">
        <f xml:space="preserve"> IF(VLOOKUP(A9,[1]!TOX,36,FALSE)="M",((((('GW-1 Inhale'!$I9)/('GW-1 Exp'!$R$63))*('GW-1 Exp'!$S$63+(EXP(-1*'GW-1 Exp'!$R$63*'GW-1 Exp'!$T$63)/'GW-1 Exp'!$R$63)-(EXP('GW-1 Exp'!$R$63*('GW-1 Exp'!$S$63-'GW-1 Exp'!$T$63))/'GW-1 Exp'!$R$63))*('GW-1 Exp'!$U$63*'GW-1 Exp'!$V$63*'GW-1 Exp'!$W$63*'GW-1 Exp'!$X$63*'GW-1 Exp'!$AB$63/'GW-1 Exp'!$Y$63)*10))+(((('GW-1 Inhale'!$I9)/('GW-1 Exp'!$R$64))*('GW-1 Exp'!$S$64+(EXP(-1*'GW-1 Exp'!$R$64*'GW-1 Exp'!$T$64)/'GW-1 Exp'!$R$64)-(EXP('GW-1 Exp'!$R$64*('GW-1 Exp'!$S$64-'GW-1 Exp'!$T$64))/'GW-1 Exp'!$R$64))*('GW-1 Exp'!$U$64*'GW-1 Exp'!$V$64*'GW-1 Exp'!$W$64*'GW-1 Exp'!$X$64*'GW-1 Exp'!$AB$64/'GW-1 Exp'!$Y$64))*3)+(((('GW-1 Inhale'!$I9)/('GW-1 Exp'!$R$65))*('GW-1 Exp'!$S$65+(EXP(-1*'GW-1 Exp'!$R$65*'GW-1 Exp'!$T$65)/'GW-1 Exp'!$R$65)-(EXP('GW-1 Exp'!$R$65*('GW-1 Exp'!$S$65-'GW-1 Exp'!$T$65))/'GW-1 Exp'!$R$65))*('GW-1 Exp'!$U$65*'GW-1 Exp'!$V$65*'GW-1 Exp'!$W$65*'GW-1 Exp'!$X$65*'GW-1 Exp'!$AB$65/'GW-1 Exp'!$Y$65))*3)+(((('GW-1 Inhale'!$I9)/('GW-1 Exp'!$R$66))*('GW-1 Exp'!$S$66+(EXP(-1*'GW-1 Exp'!$R$66*'GW-1 Exp'!$T$66)/'GW-1 Exp'!$R$66)-(EXP('GW-1 Exp'!$R$66*('GW-1 Exp'!$S$66-'GW-1 Exp'!$T$66))/'GW-1 Exp'!$R$66))*('GW-1 Exp'!$U$66*'GW-1 Exp'!$V$66*'GW-1 Exp'!$W$66*'GW-1 Exp'!$X$66*'GW-1 Exp'!$AB$66/'GW-1 Exp'!$Y$66))*1)),0)</f>
        <v>0</v>
      </c>
      <c r="M9" s="518">
        <f>IF(OR((VLOOKUP(A9,[1]!TOX,8,FALSE))=0,J9=0),0,'[1]Target Risk'!$D$8*(VLOOKUP(A9,[1]!TOX,8,FALSE))*'GW-1 Exp'!$Z$58/(VLOOKUP(A9,DWInhale,10,FALSE)))</f>
        <v>1440.8892035162082</v>
      </c>
      <c r="N9" s="519">
        <f>IF(OR(K9=0,(VLOOKUP(A9,[1]!TOX,15,FALSE))=0),0,IF(VLOOKUP(A9,[1]!TOX,36,FALSE)="M",'[1]Target Risk'!$D$12/((VLOOKUP(A9,[1]!TOX,15,FALSE))*(VLOOKUP(A9,DWInhale,12,FALSE))), '[1]Target Risk'!$D$12/((VLOOKUP(A9,[1]!TOX,15,FALSE))*(VLOOKUP(A9,DWInhale,11,FALSE)))))</f>
        <v>0</v>
      </c>
      <c r="O9" s="520">
        <f>IF(OR(VLOOKUP(A9,[1]!TOX,15,FALSE)=0, NOT(VLOOKUP(A9,[1]!TOX,36,FALSE)="M")),0,'[1]Target Risk'!$D$12/(VLOOKUP(A9,[1]!TOX,15,FALSE)*VLOOKUP(A9,DWInhale,12,FALSE)))</f>
        <v>0</v>
      </c>
    </row>
    <row r="10" spans="1:15" x14ac:dyDescent="0.25">
      <c r="A10" s="510" t="s">
        <v>161</v>
      </c>
      <c r="B10" s="511">
        <f>(VLOOKUP(A10,[1]!TOX,54,FALSE))</f>
        <v>4.3999999999999999E-5</v>
      </c>
      <c r="C10" s="512">
        <f>(VLOOKUP(A10,[1]!TOX,57,FALSE))</f>
        <v>365</v>
      </c>
      <c r="D10" s="513">
        <f>IF(C10=0,0,'GW-1 Exp'!$F$58*(18/C10)^0.5)</f>
        <v>666.20988917784473</v>
      </c>
      <c r="E10" s="514">
        <f>IF(C10=0,0,'GW-1 Exp'!$G$58*(44/C10)^0.5)</f>
        <v>6.9440030301110749</v>
      </c>
      <c r="F10" s="514">
        <f>IF(B10*D10=0,0,((1/E10)+(('GW-1 Exp'!$E$58*'GW-1 Exp'!$M$58)/(B10*D10)))^-1)</f>
        <v>1.0377330980588564</v>
      </c>
      <c r="G10" s="514">
        <f>F10*(('GW-1 Exp'!$H$58*'GW-1 Exp'!$J$58)/('GW-1 Exp'!$N$58*'GW-1 Exp'!$I$58))^-0.5</f>
        <v>1.401768025029918</v>
      </c>
      <c r="H10" s="514">
        <f>(1-EXP((-1*G10*'GW-1 Exp'!$D$58)/(60*'GW-1 Exp'!$C$58)))</f>
        <v>4.5650765701510165E-2</v>
      </c>
      <c r="I10" s="515">
        <f>H10*'GW-1 Exp'!$P$58/'GW-1 Exp'!$Q$58</f>
        <v>7.6084609502516942E-2</v>
      </c>
      <c r="J10" s="516">
        <f>(('GW-1 Inhale'!$I10)/('GW-1 Exp'!$R$58))*('GW-1 Exp'!$S$48+(EXP(-1*'GW-1 Exp'!$R$58*'GW-1 Exp'!$T$48)/'GW-1 Exp'!$R$58)-(EXP('GW-1 Exp'!$R$58*('GW-1 Exp'!$S$48-'GW-1 Exp'!$T$48))/'GW-1 Exp'!$R$58))*('GW-1 Exp'!$U$48*'GW-1 Exp'!$V$48*'GW-1 Exp'!$W$48*'GW-1 Exp'!$X$48*'GW-1 Exp'!$AB$58/'GW-1 Exp'!$Y$48)</f>
        <v>4.9810447106506887E-2</v>
      </c>
      <c r="K10" s="517">
        <f>(('GW-1 Inhale'!$I10)/('GW-1 Exp'!$R$58))*('GW-1 Exp'!$S$56+(EXP(-1*'GW-1 Exp'!$R$58*'GW-1 Exp'!$T$56)/'GW-1 Exp'!$R$58)-(EXP('GW-1 Exp'!$R$58*('GW-1 Exp'!$S$56-'GW-1 Exp'!$T$56))/'GW-1 Exp'!$R$58))*('GW-1 Exp'!$U$56*'GW-1 Exp'!$V$56*'GW-1 Exp'!$W$56*'GW-1 Exp'!$X$56*'GW-1 Exp'!$AB$58/'GW-1 Exp'!$Y$56)</f>
        <v>3.659628962507553E-2</v>
      </c>
      <c r="L10" s="517">
        <f xml:space="preserve"> IF(VLOOKUP(A10,[1]!TOX,36,FALSE)="M",((((('GW-1 Inhale'!$I10)/('GW-1 Exp'!$R$63))*('GW-1 Exp'!$S$63+(EXP(-1*'GW-1 Exp'!$R$63*'GW-1 Exp'!$T$63)/'GW-1 Exp'!$R$63)-(EXP('GW-1 Exp'!$R$63*('GW-1 Exp'!$S$63-'GW-1 Exp'!$T$63))/'GW-1 Exp'!$R$63))*('GW-1 Exp'!$U$63*'GW-1 Exp'!$V$63*'GW-1 Exp'!$W$63*'GW-1 Exp'!$X$63*'GW-1 Exp'!$AB$63/'GW-1 Exp'!$Y$63)*10))+(((('GW-1 Inhale'!$I10)/('GW-1 Exp'!$R$64))*('GW-1 Exp'!$S$64+(EXP(-1*'GW-1 Exp'!$R$64*'GW-1 Exp'!$T$64)/'GW-1 Exp'!$R$64)-(EXP('GW-1 Exp'!$R$64*('GW-1 Exp'!$S$64-'GW-1 Exp'!$T$64))/'GW-1 Exp'!$R$64))*('GW-1 Exp'!$U$64*'GW-1 Exp'!$V$64*'GW-1 Exp'!$W$64*'GW-1 Exp'!$X$64*'GW-1 Exp'!$AB$64/'GW-1 Exp'!$Y$64))*3)+(((('GW-1 Inhale'!$I10)/('GW-1 Exp'!$R$65))*('GW-1 Exp'!$S$65+(EXP(-1*'GW-1 Exp'!$R$65*'GW-1 Exp'!$T$65)/'GW-1 Exp'!$R$65)-(EXP('GW-1 Exp'!$R$65*('GW-1 Exp'!$S$65-'GW-1 Exp'!$T$65))/'GW-1 Exp'!$R$65))*('GW-1 Exp'!$U$65*'GW-1 Exp'!$V$65*'GW-1 Exp'!$W$65*'GW-1 Exp'!$X$65*'GW-1 Exp'!$AB$65/'GW-1 Exp'!$Y$65))*3)+(((('GW-1 Inhale'!$I10)/('GW-1 Exp'!$R$66))*('GW-1 Exp'!$S$66+(EXP(-1*'GW-1 Exp'!$R$66*'GW-1 Exp'!$T$66)/'GW-1 Exp'!$R$66)-(EXP('GW-1 Exp'!$R$66*('GW-1 Exp'!$S$66-'GW-1 Exp'!$T$66))/'GW-1 Exp'!$R$66))*('GW-1 Exp'!$U$66*'GW-1 Exp'!$V$66*'GW-1 Exp'!$W$66*'GW-1 Exp'!$X$66*'GW-1 Exp'!$AB$66/'GW-1 Exp'!$Y$66))*1)),0)</f>
        <v>0</v>
      </c>
      <c r="M10" s="518">
        <f>IF(OR((VLOOKUP(A10,[1]!TOX,8,FALSE))=0,J10=0),0,'[1]Target Risk'!$D$8*(VLOOKUP(A10,[1]!TOX,8,FALSE))*'GW-1 Exp'!$Z$58/(VLOOKUP(A10,DWInhale,10,FALSE)))</f>
        <v>0.44167441326030732</v>
      </c>
      <c r="N10" s="519">
        <f>IF(OR(K10=0,(VLOOKUP(A10,[1]!TOX,15,FALSE))=0),0,IF(VLOOKUP(A10,[1]!TOX,36,FALSE)="M",'[1]Target Risk'!$D$12/((VLOOKUP(A10,[1]!TOX,15,FALSE))*(VLOOKUP(A10,DWInhale,12,FALSE))), '[1]Target Risk'!$D$12/((VLOOKUP(A10,[1]!TOX,15,FALSE))*(VLOOKUP(A10,DWInhale,11,FALSE)))))</f>
        <v>5.576566224167869E-3</v>
      </c>
      <c r="O10" s="520">
        <f>IF(OR(VLOOKUP(A10,[1]!TOX,15,FALSE)=0, NOT(VLOOKUP(A10,[1]!TOX,36,FALSE)="M")),0,'[1]Target Risk'!$D$12/(VLOOKUP(A10,[1]!TOX,15,FALSE)*VLOOKUP(A10,DWInhale,12,FALSE)))</f>
        <v>0</v>
      </c>
    </row>
    <row r="11" spans="1:15" x14ac:dyDescent="0.25">
      <c r="A11" s="510" t="s">
        <v>162</v>
      </c>
      <c r="B11" s="511">
        <f>(VLOOKUP(A11,[1]!TOX,54,FALSE))</f>
        <v>5.5600000000000003E-5</v>
      </c>
      <c r="C11" s="512">
        <f>(VLOOKUP(A11,[1]!TOX,57,FALSE))</f>
        <v>178</v>
      </c>
      <c r="D11" s="513">
        <f>IF(C11=0,0,'GW-1 Exp'!$F$58*(18/C11)^0.5)</f>
        <v>953.99809200572395</v>
      </c>
      <c r="E11" s="514">
        <f>IF(C11=0,0,'GW-1 Exp'!$G$58*(44/C11)^0.5)</f>
        <v>9.9436615235225112</v>
      </c>
      <c r="F11" s="514">
        <f>IF(B11*D11=0,0,((1/E11)+(('GW-1 Exp'!$E$58*'GW-1 Exp'!$M$58)/(B11*D11)))^-1)</f>
        <v>1.806600292675451</v>
      </c>
      <c r="G11" s="514">
        <f>F11*(('GW-1 Exp'!$H$58*'GW-1 Exp'!$J$58)/('GW-1 Exp'!$N$58*'GW-1 Exp'!$I$58))^-0.5</f>
        <v>2.440352465406773</v>
      </c>
      <c r="H11" s="514">
        <f>(1-EXP((-1*G11*'GW-1 Exp'!$D$58)/(60*'GW-1 Exp'!$C$58)))</f>
        <v>7.8124486263140058E-2</v>
      </c>
      <c r="I11" s="515">
        <f>H11*'GW-1 Exp'!$P$58/'GW-1 Exp'!$Q$58</f>
        <v>0.13020747710523342</v>
      </c>
      <c r="J11" s="516">
        <f>(('GW-1 Inhale'!$I11)/('GW-1 Exp'!$R$58))*('GW-1 Exp'!$S$48+(EXP(-1*'GW-1 Exp'!$R$58*'GW-1 Exp'!$T$48)/'GW-1 Exp'!$R$58)-(EXP('GW-1 Exp'!$R$58*('GW-1 Exp'!$S$48-'GW-1 Exp'!$T$48))/'GW-1 Exp'!$R$58))*('GW-1 Exp'!$U$48*'GW-1 Exp'!$V$48*'GW-1 Exp'!$W$48*'GW-1 Exp'!$X$48*'GW-1 Exp'!$AB$58/'GW-1 Exp'!$Y$48)</f>
        <v>8.524316144393676E-2</v>
      </c>
      <c r="K11" s="517">
        <f>(('GW-1 Inhale'!$I11)/('GW-1 Exp'!$R$58))*('GW-1 Exp'!$S$56+(EXP(-1*'GW-1 Exp'!$R$58*'GW-1 Exp'!$T$56)/'GW-1 Exp'!$R$58)-(EXP('GW-1 Exp'!$R$58*('GW-1 Exp'!$S$56-'GW-1 Exp'!$T$56))/'GW-1 Exp'!$R$58))*('GW-1 Exp'!$U$56*'GW-1 Exp'!$V$56*'GW-1 Exp'!$W$56*'GW-1 Exp'!$X$56*'GW-1 Exp'!$AB$58/'GW-1 Exp'!$Y$56)</f>
        <v>6.2629099033962715E-2</v>
      </c>
      <c r="L11" s="517">
        <f xml:space="preserve"> IF(VLOOKUP(A11,[1]!TOX,36,FALSE)="M",((((('GW-1 Inhale'!$I11)/('GW-1 Exp'!$R$63))*('GW-1 Exp'!$S$63+(EXP(-1*'GW-1 Exp'!$R$63*'GW-1 Exp'!$T$63)/'GW-1 Exp'!$R$63)-(EXP('GW-1 Exp'!$R$63*('GW-1 Exp'!$S$63-'GW-1 Exp'!$T$63))/'GW-1 Exp'!$R$63))*('GW-1 Exp'!$U$63*'GW-1 Exp'!$V$63*'GW-1 Exp'!$W$63*'GW-1 Exp'!$X$63*'GW-1 Exp'!$AB$63/'GW-1 Exp'!$Y$63)*10))+(((('GW-1 Inhale'!$I11)/('GW-1 Exp'!$R$64))*('GW-1 Exp'!$S$64+(EXP(-1*'GW-1 Exp'!$R$64*'GW-1 Exp'!$T$64)/'GW-1 Exp'!$R$64)-(EXP('GW-1 Exp'!$R$64*('GW-1 Exp'!$S$64-'GW-1 Exp'!$T$64))/'GW-1 Exp'!$R$64))*('GW-1 Exp'!$U$64*'GW-1 Exp'!$V$64*'GW-1 Exp'!$W$64*'GW-1 Exp'!$X$64*'GW-1 Exp'!$AB$64/'GW-1 Exp'!$Y$64))*3)+(((('GW-1 Inhale'!$I11)/('GW-1 Exp'!$R$65))*('GW-1 Exp'!$S$65+(EXP(-1*'GW-1 Exp'!$R$65*'GW-1 Exp'!$T$65)/'GW-1 Exp'!$R$65)-(EXP('GW-1 Exp'!$R$65*('GW-1 Exp'!$S$65-'GW-1 Exp'!$T$65))/'GW-1 Exp'!$R$65))*('GW-1 Exp'!$U$65*'GW-1 Exp'!$V$65*'GW-1 Exp'!$W$65*'GW-1 Exp'!$X$65*'GW-1 Exp'!$AB$65/'GW-1 Exp'!$Y$65))*3)+(((('GW-1 Inhale'!$I11)/('GW-1 Exp'!$R$66))*('GW-1 Exp'!$S$66+(EXP(-1*'GW-1 Exp'!$R$66*'GW-1 Exp'!$T$66)/'GW-1 Exp'!$R$66)-(EXP('GW-1 Exp'!$R$66*('GW-1 Exp'!$S$66-'GW-1 Exp'!$T$66))/'GW-1 Exp'!$R$66))*('GW-1 Exp'!$U$66*'GW-1 Exp'!$V$66*'GW-1 Exp'!$W$66*'GW-1 Exp'!$X$66*'GW-1 Exp'!$AB$66/'GW-1 Exp'!$Y$66))*1)),0)</f>
        <v>0</v>
      </c>
      <c r="M11" s="518">
        <f>IF(OR((VLOOKUP(A11,[1]!TOX,8,FALSE))=0,J11=0),0,'[1]Target Risk'!$D$8*(VLOOKUP(A11,[1]!TOX,8,FALSE))*'GW-1 Exp'!$Z$58/(VLOOKUP(A11,DWInhale,10,FALSE)))</f>
        <v>117.3114632377503</v>
      </c>
      <c r="N11" s="519">
        <f>IF(OR(K11=0,(VLOOKUP(A11,[1]!TOX,15,FALSE))=0),0,IF(VLOOKUP(A11,[1]!TOX,36,FALSE)="M",'[1]Target Risk'!$D$12/((VLOOKUP(A11,[1]!TOX,15,FALSE))*(VLOOKUP(A11,DWInhale,12,FALSE))), '[1]Target Risk'!$D$12/((VLOOKUP(A11,[1]!TOX,15,FALSE))*(VLOOKUP(A11,DWInhale,11,FALSE)))))</f>
        <v>0</v>
      </c>
      <c r="O11" s="520">
        <f>IF(OR(VLOOKUP(A11,[1]!TOX,15,FALSE)=0, NOT(VLOOKUP(A11,[1]!TOX,36,FALSE)="M")),0,'[1]Target Risk'!$D$12/(VLOOKUP(A11,[1]!TOX,15,FALSE)*VLOOKUP(A11,DWInhale,12,FALSE)))</f>
        <v>0</v>
      </c>
    </row>
    <row r="12" spans="1:15" x14ac:dyDescent="0.25">
      <c r="A12" s="510" t="s">
        <v>163</v>
      </c>
      <c r="B12" s="511">
        <f>(VLOOKUP(A12,[1]!TOX,54,FALSE))</f>
        <v>0</v>
      </c>
      <c r="C12" s="512">
        <f>(VLOOKUP(A12,[1]!TOX,57,FALSE))</f>
        <v>122</v>
      </c>
      <c r="D12" s="513">
        <f>IF(C12=0,0,'GW-1 Exp'!$F$58*(18/C12)^0.5)</f>
        <v>1152.3319193960638</v>
      </c>
      <c r="E12" s="514">
        <f>IF(C12=0,0,'GW-1 Exp'!$G$58*(44/C12)^0.5)</f>
        <v>12.01092398951751</v>
      </c>
      <c r="F12" s="514">
        <f>IF(B12*D12=0,0,((1/E12)+(('GW-1 Exp'!$E$58*'GW-1 Exp'!$M$58)/(B12*D12)))^-1)</f>
        <v>0</v>
      </c>
      <c r="G12" s="514">
        <f>F12*(('GW-1 Exp'!$H$58*'GW-1 Exp'!$J$58)/('GW-1 Exp'!$N$58*'GW-1 Exp'!$I$58))^-0.5</f>
        <v>0</v>
      </c>
      <c r="H12" s="514">
        <f>(1-EXP((-1*G12*'GW-1 Exp'!$D$58)/(60*'GW-1 Exp'!$C$58)))</f>
        <v>0</v>
      </c>
      <c r="I12" s="515">
        <f>H12*'GW-1 Exp'!$P$58/'GW-1 Exp'!$Q$58</f>
        <v>0</v>
      </c>
      <c r="J12" s="516">
        <f>(('GW-1 Inhale'!$I12)/('GW-1 Exp'!$R$58))*('GW-1 Exp'!$S$48+(EXP(-1*'GW-1 Exp'!$R$58*'GW-1 Exp'!$T$48)/'GW-1 Exp'!$R$58)-(EXP('GW-1 Exp'!$R$58*('GW-1 Exp'!$S$48-'GW-1 Exp'!$T$48))/'GW-1 Exp'!$R$58))*('GW-1 Exp'!$U$48*'GW-1 Exp'!$V$48*'GW-1 Exp'!$W$48*'GW-1 Exp'!$X$48*'GW-1 Exp'!$AB$58/'GW-1 Exp'!$Y$48)</f>
        <v>0</v>
      </c>
      <c r="K12" s="517">
        <f>(('GW-1 Inhale'!$I12)/('GW-1 Exp'!$R$58))*('GW-1 Exp'!$S$56+(EXP(-1*'GW-1 Exp'!$R$58*'GW-1 Exp'!$T$56)/'GW-1 Exp'!$R$58)-(EXP('GW-1 Exp'!$R$58*('GW-1 Exp'!$S$56-'GW-1 Exp'!$T$56))/'GW-1 Exp'!$R$58))*('GW-1 Exp'!$U$56*'GW-1 Exp'!$V$56*'GW-1 Exp'!$W$56*'GW-1 Exp'!$X$56*'GW-1 Exp'!$AB$58/'GW-1 Exp'!$Y$56)</f>
        <v>0</v>
      </c>
      <c r="L12" s="517">
        <f xml:space="preserve"> IF(VLOOKUP(A12,[1]!TOX,36,FALSE)="M",((((('GW-1 Inhale'!$I12)/('GW-1 Exp'!$R$63))*('GW-1 Exp'!$S$63+(EXP(-1*'GW-1 Exp'!$R$63*'GW-1 Exp'!$T$63)/'GW-1 Exp'!$R$63)-(EXP('GW-1 Exp'!$R$63*('GW-1 Exp'!$S$63-'GW-1 Exp'!$T$63))/'GW-1 Exp'!$R$63))*('GW-1 Exp'!$U$63*'GW-1 Exp'!$V$63*'GW-1 Exp'!$W$63*'GW-1 Exp'!$X$63*'GW-1 Exp'!$AB$63/'GW-1 Exp'!$Y$63)*10))+(((('GW-1 Inhale'!$I12)/('GW-1 Exp'!$R$64))*('GW-1 Exp'!$S$64+(EXP(-1*'GW-1 Exp'!$R$64*'GW-1 Exp'!$T$64)/'GW-1 Exp'!$R$64)-(EXP('GW-1 Exp'!$R$64*('GW-1 Exp'!$S$64-'GW-1 Exp'!$T$64))/'GW-1 Exp'!$R$64))*('GW-1 Exp'!$U$64*'GW-1 Exp'!$V$64*'GW-1 Exp'!$W$64*'GW-1 Exp'!$X$64*'GW-1 Exp'!$AB$64/'GW-1 Exp'!$Y$64))*3)+(((('GW-1 Inhale'!$I12)/('GW-1 Exp'!$R$65))*('GW-1 Exp'!$S$65+(EXP(-1*'GW-1 Exp'!$R$65*'GW-1 Exp'!$T$65)/'GW-1 Exp'!$R$65)-(EXP('GW-1 Exp'!$R$65*('GW-1 Exp'!$S$65-'GW-1 Exp'!$T$65))/'GW-1 Exp'!$R$65))*('GW-1 Exp'!$U$65*'GW-1 Exp'!$V$65*'GW-1 Exp'!$W$65*'GW-1 Exp'!$X$65*'GW-1 Exp'!$AB$65/'GW-1 Exp'!$Y$65))*3)+(((('GW-1 Inhale'!$I12)/('GW-1 Exp'!$R$66))*('GW-1 Exp'!$S$66+(EXP(-1*'GW-1 Exp'!$R$66*'GW-1 Exp'!$T$66)/'GW-1 Exp'!$R$66)-(EXP('GW-1 Exp'!$R$66*('GW-1 Exp'!$S$66-'GW-1 Exp'!$T$66))/'GW-1 Exp'!$R$66))*('GW-1 Exp'!$U$66*'GW-1 Exp'!$V$66*'GW-1 Exp'!$W$66*'GW-1 Exp'!$X$66*'GW-1 Exp'!$AB$66/'GW-1 Exp'!$Y$66))*1)),0)</f>
        <v>0</v>
      </c>
      <c r="M12" s="518">
        <f>IF(OR((VLOOKUP(A12,[1]!TOX,8,FALSE))=0,J12=0),0,'[1]Target Risk'!$D$8*(VLOOKUP(A12,[1]!TOX,8,FALSE))*'GW-1 Exp'!$Z$58/(VLOOKUP(A12,DWInhale,10,FALSE)))</f>
        <v>0</v>
      </c>
      <c r="N12" s="519">
        <f>IF(OR(K12=0,(VLOOKUP(A12,[1]!TOX,15,FALSE))=0),0,IF(VLOOKUP(A12,[1]!TOX,36,FALSE)="M",'[1]Target Risk'!$D$12/((VLOOKUP(A12,[1]!TOX,15,FALSE))*(VLOOKUP(A12,DWInhale,12,FALSE))), '[1]Target Risk'!$D$12/((VLOOKUP(A12,[1]!TOX,15,FALSE))*(VLOOKUP(A12,DWInhale,11,FALSE)))))</f>
        <v>0</v>
      </c>
      <c r="O12" s="520">
        <f>IF(OR(VLOOKUP(A12,[1]!TOX,15,FALSE)=0, NOT(VLOOKUP(A12,[1]!TOX,36,FALSE)="M")),0,'[1]Target Risk'!$D$12/(VLOOKUP(A12,[1]!TOX,15,FALSE)*VLOOKUP(A12,DWInhale,12,FALSE)))</f>
        <v>0</v>
      </c>
    </row>
    <row r="13" spans="1:15" x14ac:dyDescent="0.25">
      <c r="A13" s="510" t="s">
        <v>164</v>
      </c>
      <c r="B13" s="511">
        <f>(VLOOKUP(A13,[1]!TOX,54,FALSE))</f>
        <v>0</v>
      </c>
      <c r="C13" s="512">
        <f>(VLOOKUP(A13,[1]!TOX,57,FALSE))</f>
        <v>75</v>
      </c>
      <c r="D13" s="513">
        <f>IF(C13=0,0,'GW-1 Exp'!$F$58*(18/C13)^0.5)</f>
        <v>1469.6938456699068</v>
      </c>
      <c r="E13" s="514">
        <f>IF(C13=0,0,'GW-1 Exp'!$G$58*(44/C13)^0.5)</f>
        <v>15.31883372410141</v>
      </c>
      <c r="F13" s="514">
        <f>IF(B13*D13=0,0,((1/E13)+(('GW-1 Exp'!$E$58*'GW-1 Exp'!$M$58)/(B13*D13)))^-1)</f>
        <v>0</v>
      </c>
      <c r="G13" s="514">
        <f>F13*(('GW-1 Exp'!$H$58*'GW-1 Exp'!$J$58)/('GW-1 Exp'!$N$58*'GW-1 Exp'!$I$58))^-0.5</f>
        <v>0</v>
      </c>
      <c r="H13" s="514">
        <f>(1-EXP((-1*G13*'GW-1 Exp'!$D$58)/(60*'GW-1 Exp'!$C$58)))</f>
        <v>0</v>
      </c>
      <c r="I13" s="515">
        <f>H13*'GW-1 Exp'!$P$58/'GW-1 Exp'!$Q$58</f>
        <v>0</v>
      </c>
      <c r="J13" s="516">
        <f>(('GW-1 Inhale'!$I13)/('GW-1 Exp'!$R$58))*('GW-1 Exp'!$S$48+(EXP(-1*'GW-1 Exp'!$R$58*'GW-1 Exp'!$T$48)/'GW-1 Exp'!$R$58)-(EXP('GW-1 Exp'!$R$58*('GW-1 Exp'!$S$48-'GW-1 Exp'!$T$48))/'GW-1 Exp'!$R$58))*('GW-1 Exp'!$U$48*'GW-1 Exp'!$V$48*'GW-1 Exp'!$W$48*'GW-1 Exp'!$X$48*'GW-1 Exp'!$AB$58/'GW-1 Exp'!$Y$48)</f>
        <v>0</v>
      </c>
      <c r="K13" s="517">
        <f>(('GW-1 Inhale'!$I13)/('GW-1 Exp'!$R$58))*('GW-1 Exp'!$S$56+(EXP(-1*'GW-1 Exp'!$R$58*'GW-1 Exp'!$T$56)/'GW-1 Exp'!$R$58)-(EXP('GW-1 Exp'!$R$58*('GW-1 Exp'!$S$56-'GW-1 Exp'!$T$56))/'GW-1 Exp'!$R$58))*('GW-1 Exp'!$U$56*'GW-1 Exp'!$V$56*'GW-1 Exp'!$W$56*'GW-1 Exp'!$X$56*'GW-1 Exp'!$AB$58/'GW-1 Exp'!$Y$56)</f>
        <v>0</v>
      </c>
      <c r="L13" s="517">
        <f xml:space="preserve"> IF(VLOOKUP(A13,[1]!TOX,36,FALSE)="M",((((('GW-1 Inhale'!$I13)/('GW-1 Exp'!$R$63))*('GW-1 Exp'!$S$63+(EXP(-1*'GW-1 Exp'!$R$63*'GW-1 Exp'!$T$63)/'GW-1 Exp'!$R$63)-(EXP('GW-1 Exp'!$R$63*('GW-1 Exp'!$S$63-'GW-1 Exp'!$T$63))/'GW-1 Exp'!$R$63))*('GW-1 Exp'!$U$63*'GW-1 Exp'!$V$63*'GW-1 Exp'!$W$63*'GW-1 Exp'!$X$63*'GW-1 Exp'!$AB$63/'GW-1 Exp'!$Y$63)*10))+(((('GW-1 Inhale'!$I13)/('GW-1 Exp'!$R$64))*('GW-1 Exp'!$S$64+(EXP(-1*'GW-1 Exp'!$R$64*'GW-1 Exp'!$T$64)/'GW-1 Exp'!$R$64)-(EXP('GW-1 Exp'!$R$64*('GW-1 Exp'!$S$64-'GW-1 Exp'!$T$64))/'GW-1 Exp'!$R$64))*('GW-1 Exp'!$U$64*'GW-1 Exp'!$V$64*'GW-1 Exp'!$W$64*'GW-1 Exp'!$X$64*'GW-1 Exp'!$AB$64/'GW-1 Exp'!$Y$64))*3)+(((('GW-1 Inhale'!$I13)/('GW-1 Exp'!$R$65))*('GW-1 Exp'!$S$65+(EXP(-1*'GW-1 Exp'!$R$65*'GW-1 Exp'!$T$65)/'GW-1 Exp'!$R$65)-(EXP('GW-1 Exp'!$R$65*('GW-1 Exp'!$S$65-'GW-1 Exp'!$T$65))/'GW-1 Exp'!$R$65))*('GW-1 Exp'!$U$65*'GW-1 Exp'!$V$65*'GW-1 Exp'!$W$65*'GW-1 Exp'!$X$65*'GW-1 Exp'!$AB$65/'GW-1 Exp'!$Y$65))*3)+(((('GW-1 Inhale'!$I13)/('GW-1 Exp'!$R$66))*('GW-1 Exp'!$S$66+(EXP(-1*'GW-1 Exp'!$R$66*'GW-1 Exp'!$T$66)/'GW-1 Exp'!$R$66)-(EXP('GW-1 Exp'!$R$66*('GW-1 Exp'!$S$66-'GW-1 Exp'!$T$66))/'GW-1 Exp'!$R$66))*('GW-1 Exp'!$U$66*'GW-1 Exp'!$V$66*'GW-1 Exp'!$W$66*'GW-1 Exp'!$X$66*'GW-1 Exp'!$AB$66/'GW-1 Exp'!$Y$66))*1)),0)</f>
        <v>0</v>
      </c>
      <c r="M13" s="518">
        <f>IF(OR((VLOOKUP(A13,[1]!TOX,8,FALSE))=0,J13=0),0,'[1]Target Risk'!$D$8*(VLOOKUP(A13,[1]!TOX,8,FALSE))*'GW-1 Exp'!$Z$58/(VLOOKUP(A13,DWInhale,10,FALSE)))</f>
        <v>0</v>
      </c>
      <c r="N13" s="519">
        <f>IF(OR(K13=0,(VLOOKUP(A13,[1]!TOX,15,FALSE))=0),0,IF(VLOOKUP(A13,[1]!TOX,36,FALSE)="M",'[1]Target Risk'!$D$12/((VLOOKUP(A13,[1]!TOX,15,FALSE))*(VLOOKUP(A13,DWInhale,12,FALSE))), '[1]Target Risk'!$D$12/((VLOOKUP(A13,[1]!TOX,15,FALSE))*(VLOOKUP(A13,DWInhale,11,FALSE)))))</f>
        <v>0</v>
      </c>
      <c r="O13" s="520">
        <f>IF(OR(VLOOKUP(A13,[1]!TOX,15,FALSE)=0, NOT(VLOOKUP(A13,[1]!TOX,36,FALSE)="M")),0,'[1]Target Risk'!$D$12/(VLOOKUP(A13,[1]!TOX,15,FALSE)*VLOOKUP(A13,DWInhale,12,FALSE)))</f>
        <v>0</v>
      </c>
    </row>
    <row r="14" spans="1:15" x14ac:dyDescent="0.25">
      <c r="A14" s="510" t="s">
        <v>166</v>
      </c>
      <c r="B14" s="511">
        <f>(VLOOKUP(A14,[1]!TOX,54,FALSE))</f>
        <v>0</v>
      </c>
      <c r="C14" s="512">
        <f>(VLOOKUP(A14,[1]!TOX,57,FALSE))</f>
        <v>137</v>
      </c>
      <c r="D14" s="513">
        <f>IF(C14=0,0,'GW-1 Exp'!$F$58*(18/C14)^0.5)</f>
        <v>1087.4197679943186</v>
      </c>
      <c r="E14" s="514">
        <f>IF(C14=0,0,'GW-1 Exp'!$G$58*(44/C14)^0.5)</f>
        <v>11.334335149653532</v>
      </c>
      <c r="F14" s="514">
        <f>IF(B14*D14=0,0,((1/E14)+(('GW-1 Exp'!$E$58*'GW-1 Exp'!$M$58)/(B14*D14)))^-1)</f>
        <v>0</v>
      </c>
      <c r="G14" s="514">
        <f>F14*(('GW-1 Exp'!$H$58*'GW-1 Exp'!$J$58)/('GW-1 Exp'!$N$58*'GW-1 Exp'!$I$58))^-0.5</f>
        <v>0</v>
      </c>
      <c r="H14" s="514">
        <f>(1-EXP((-1*G14*'GW-1 Exp'!$D$58)/(60*'GW-1 Exp'!$C$58)))</f>
        <v>0</v>
      </c>
      <c r="I14" s="515">
        <f>H14*'GW-1 Exp'!$P$58/'GW-1 Exp'!$Q$58</f>
        <v>0</v>
      </c>
      <c r="J14" s="516">
        <f>(('GW-1 Inhale'!$I14)/('GW-1 Exp'!$R$58))*('GW-1 Exp'!$S$48+(EXP(-1*'GW-1 Exp'!$R$58*'GW-1 Exp'!$T$48)/'GW-1 Exp'!$R$58)-(EXP('GW-1 Exp'!$R$58*('GW-1 Exp'!$S$48-'GW-1 Exp'!$T$48))/'GW-1 Exp'!$R$58))*('GW-1 Exp'!$U$48*'GW-1 Exp'!$V$48*'GW-1 Exp'!$W$48*'GW-1 Exp'!$X$48*'GW-1 Exp'!$AB$58/'GW-1 Exp'!$Y$48)</f>
        <v>0</v>
      </c>
      <c r="K14" s="517">
        <f>(('GW-1 Inhale'!$I14)/('GW-1 Exp'!$R$58))*('GW-1 Exp'!$S$56+(EXP(-1*'GW-1 Exp'!$R$58*'GW-1 Exp'!$T$56)/'GW-1 Exp'!$R$58)-(EXP('GW-1 Exp'!$R$58*('GW-1 Exp'!$S$56-'GW-1 Exp'!$T$56))/'GW-1 Exp'!$R$58))*('GW-1 Exp'!$U$56*'GW-1 Exp'!$V$56*'GW-1 Exp'!$W$56*'GW-1 Exp'!$X$56*'GW-1 Exp'!$AB$58/'GW-1 Exp'!$Y$56)</f>
        <v>0</v>
      </c>
      <c r="L14" s="517">
        <f xml:space="preserve"> IF(VLOOKUP(A14,[1]!TOX,36,FALSE)="M",((((('GW-1 Inhale'!$I14)/('GW-1 Exp'!$R$63))*('GW-1 Exp'!$S$63+(EXP(-1*'GW-1 Exp'!$R$63*'GW-1 Exp'!$T$63)/'GW-1 Exp'!$R$63)-(EXP('GW-1 Exp'!$R$63*('GW-1 Exp'!$S$63-'GW-1 Exp'!$T$63))/'GW-1 Exp'!$R$63))*('GW-1 Exp'!$U$63*'GW-1 Exp'!$V$63*'GW-1 Exp'!$W$63*'GW-1 Exp'!$X$63*'GW-1 Exp'!$AB$63/'GW-1 Exp'!$Y$63)*10))+(((('GW-1 Inhale'!$I14)/('GW-1 Exp'!$R$64))*('GW-1 Exp'!$S$64+(EXP(-1*'GW-1 Exp'!$R$64*'GW-1 Exp'!$T$64)/'GW-1 Exp'!$R$64)-(EXP('GW-1 Exp'!$R$64*('GW-1 Exp'!$S$64-'GW-1 Exp'!$T$64))/'GW-1 Exp'!$R$64))*('GW-1 Exp'!$U$64*'GW-1 Exp'!$V$64*'GW-1 Exp'!$W$64*'GW-1 Exp'!$X$64*'GW-1 Exp'!$AB$64/'GW-1 Exp'!$Y$64))*3)+(((('GW-1 Inhale'!$I14)/('GW-1 Exp'!$R$65))*('GW-1 Exp'!$S$65+(EXP(-1*'GW-1 Exp'!$R$65*'GW-1 Exp'!$T$65)/'GW-1 Exp'!$R$65)-(EXP('GW-1 Exp'!$R$65*('GW-1 Exp'!$S$65-'GW-1 Exp'!$T$65))/'GW-1 Exp'!$R$65))*('GW-1 Exp'!$U$65*'GW-1 Exp'!$V$65*'GW-1 Exp'!$W$65*'GW-1 Exp'!$X$65*'GW-1 Exp'!$AB$65/'GW-1 Exp'!$Y$65))*3)+(((('GW-1 Inhale'!$I14)/('GW-1 Exp'!$R$66))*('GW-1 Exp'!$S$66+(EXP(-1*'GW-1 Exp'!$R$66*'GW-1 Exp'!$T$66)/'GW-1 Exp'!$R$66)-(EXP('GW-1 Exp'!$R$66*('GW-1 Exp'!$S$66-'GW-1 Exp'!$T$66))/'GW-1 Exp'!$R$66))*('GW-1 Exp'!$U$66*'GW-1 Exp'!$V$66*'GW-1 Exp'!$W$66*'GW-1 Exp'!$X$66*'GW-1 Exp'!$AB$66/'GW-1 Exp'!$Y$66))*1)),0)</f>
        <v>0</v>
      </c>
      <c r="M14" s="518">
        <f>IF(OR((VLOOKUP(A14,[1]!TOX,8,FALSE))=0,J14=0),0,'[1]Target Risk'!$D$8*(VLOOKUP(A14,[1]!TOX,8,FALSE))*'GW-1 Exp'!$Z$58/(VLOOKUP(A14,DWInhale,10,FALSE)))</f>
        <v>0</v>
      </c>
      <c r="N14" s="519">
        <f>IF(OR(K14=0,(VLOOKUP(A14,[1]!TOX,15,FALSE))=0),0,IF(VLOOKUP(A14,[1]!TOX,36,FALSE)="M",'[1]Target Risk'!$D$12/((VLOOKUP(A14,[1]!TOX,15,FALSE))*(VLOOKUP(A14,DWInhale,12,FALSE))), '[1]Target Risk'!$D$12/((VLOOKUP(A14,[1]!TOX,15,FALSE))*(VLOOKUP(A14,DWInhale,11,FALSE)))))</f>
        <v>0</v>
      </c>
      <c r="O14" s="520">
        <f>IF(OR(VLOOKUP(A14,[1]!TOX,15,FALSE)=0, NOT(VLOOKUP(A14,[1]!TOX,36,FALSE)="M")),0,'[1]Target Risk'!$D$12/(VLOOKUP(A14,[1]!TOX,15,FALSE)*VLOOKUP(A14,DWInhale,12,FALSE)))</f>
        <v>0</v>
      </c>
    </row>
    <row r="15" spans="1:15" x14ac:dyDescent="0.25">
      <c r="A15" s="510" t="s">
        <v>167</v>
      </c>
      <c r="B15" s="511">
        <f>(VLOOKUP(A15,[1]!TOX,54,FALSE))</f>
        <v>5.5500000000000002E-3</v>
      </c>
      <c r="C15" s="512">
        <f>(VLOOKUP(A15,[1]!TOX,57,FALSE))</f>
        <v>78</v>
      </c>
      <c r="D15" s="513">
        <f>IF(C15=0,0,'GW-1 Exp'!$F$58*(18/C15)^0.5)</f>
        <v>1441.1533842457843</v>
      </c>
      <c r="E15" s="514">
        <f>IF(C15=0,0,'GW-1 Exp'!$G$58*(44/C15)^0.5)</f>
        <v>15.021352323976217</v>
      </c>
      <c r="F15" s="514">
        <f>IF(B15*D15=0,0,((1/E15)+(('GW-1 Exp'!$E$58*'GW-1 Exp'!$M$58)/(B15*D15)))^-1)</f>
        <v>14.372823320639567</v>
      </c>
      <c r="G15" s="514">
        <f>F15*(('GW-1 Exp'!$H$58*'GW-1 Exp'!$J$58)/('GW-1 Exp'!$N$58*'GW-1 Exp'!$I$58))^-0.5</f>
        <v>19.414784204111594</v>
      </c>
      <c r="H15" s="514">
        <f>(1-EXP((-1*G15*'GW-1 Exp'!$D$58)/(60*'GW-1 Exp'!$C$58)))</f>
        <v>0.47646923027795385</v>
      </c>
      <c r="I15" s="515">
        <f>H15*'GW-1 Exp'!$P$58/'GW-1 Exp'!$Q$58</f>
        <v>0.79411538379658975</v>
      </c>
      <c r="J15" s="516">
        <f>(('GW-1 Inhale'!$I15)/('GW-1 Exp'!$R$58))*('GW-1 Exp'!$S$48+(EXP(-1*'GW-1 Exp'!$R$58*'GW-1 Exp'!$T$48)/'GW-1 Exp'!$R$58)-(EXP('GW-1 Exp'!$R$58*('GW-1 Exp'!$S$48-'GW-1 Exp'!$T$48))/'GW-1 Exp'!$R$58))*('GW-1 Exp'!$U$48*'GW-1 Exp'!$V$48*'GW-1 Exp'!$W$48*'GW-1 Exp'!$X$48*'GW-1 Exp'!$AB$58/'GW-1 Exp'!$Y$48)</f>
        <v>0.51988493572744077</v>
      </c>
      <c r="K15" s="517">
        <f>(('GW-1 Inhale'!$I15)/('GW-1 Exp'!$R$58))*('GW-1 Exp'!$S$56+(EXP(-1*'GW-1 Exp'!$R$58*'GW-1 Exp'!$T$56)/'GW-1 Exp'!$R$58)-(EXP('GW-1 Exp'!$R$58*('GW-1 Exp'!$S$56-'GW-1 Exp'!$T$56))/'GW-1 Exp'!$R$58))*('GW-1 Exp'!$U$56*'GW-1 Exp'!$V$56*'GW-1 Exp'!$W$56*'GW-1 Exp'!$X$56*'GW-1 Exp'!$AB$58/'GW-1 Exp'!$Y$56)</f>
        <v>0.38196524594355219</v>
      </c>
      <c r="L15" s="517">
        <f xml:space="preserve"> IF(VLOOKUP(A15,[1]!TOX,36,FALSE)="M",((((('GW-1 Inhale'!$I15)/('GW-1 Exp'!$R$63))*('GW-1 Exp'!$S$63+(EXP(-1*'GW-1 Exp'!$R$63*'GW-1 Exp'!$T$63)/'GW-1 Exp'!$R$63)-(EXP('GW-1 Exp'!$R$63*('GW-1 Exp'!$S$63-'GW-1 Exp'!$T$63))/'GW-1 Exp'!$R$63))*('GW-1 Exp'!$U$63*'GW-1 Exp'!$V$63*'GW-1 Exp'!$W$63*'GW-1 Exp'!$X$63*'GW-1 Exp'!$AB$63/'GW-1 Exp'!$Y$63)*10))+(((('GW-1 Inhale'!$I15)/('GW-1 Exp'!$R$64))*('GW-1 Exp'!$S$64+(EXP(-1*'GW-1 Exp'!$R$64*'GW-1 Exp'!$T$64)/'GW-1 Exp'!$R$64)-(EXP('GW-1 Exp'!$R$64*('GW-1 Exp'!$S$64-'GW-1 Exp'!$T$64))/'GW-1 Exp'!$R$64))*('GW-1 Exp'!$U$64*'GW-1 Exp'!$V$64*'GW-1 Exp'!$W$64*'GW-1 Exp'!$X$64*'GW-1 Exp'!$AB$64/'GW-1 Exp'!$Y$64))*3)+(((('GW-1 Inhale'!$I15)/('GW-1 Exp'!$R$65))*('GW-1 Exp'!$S$65+(EXP(-1*'GW-1 Exp'!$R$65*'GW-1 Exp'!$T$65)/'GW-1 Exp'!$R$65)-(EXP('GW-1 Exp'!$R$65*('GW-1 Exp'!$S$65-'GW-1 Exp'!$T$65))/'GW-1 Exp'!$R$65))*('GW-1 Exp'!$U$65*'GW-1 Exp'!$V$65*'GW-1 Exp'!$W$65*'GW-1 Exp'!$X$65*'GW-1 Exp'!$AB$65/'GW-1 Exp'!$Y$65))*3)+(((('GW-1 Inhale'!$I15)/('GW-1 Exp'!$R$66))*('GW-1 Exp'!$S$66+(EXP(-1*'GW-1 Exp'!$R$66*'GW-1 Exp'!$T$66)/'GW-1 Exp'!$R$66)-(EXP('GW-1 Exp'!$R$66*('GW-1 Exp'!$S$66-'GW-1 Exp'!$T$66))/'GW-1 Exp'!$R$66))*('GW-1 Exp'!$U$66*'GW-1 Exp'!$V$66*'GW-1 Exp'!$W$66*'GW-1 Exp'!$X$66*'GW-1 Exp'!$AB$66/'GW-1 Exp'!$Y$66))*1)),0)</f>
        <v>0</v>
      </c>
      <c r="M15" s="518">
        <f>IF(OR((VLOOKUP(A15,[1]!TOX,8,FALSE))=0,J15=0),0,'[1]Target Risk'!$D$8*(VLOOKUP(A15,[1]!TOX,8,FALSE))*'GW-1 Exp'!$Z$58/(VLOOKUP(A15,DWInhale,10,FALSE)))</f>
        <v>1.1541015304866635</v>
      </c>
      <c r="N15" s="519">
        <f>IF(OR(K15=0,(VLOOKUP(A15,[1]!TOX,15,FALSE))=0),0,IF(VLOOKUP(A15,[1]!TOX,36,FALSE)="M",'[1]Target Risk'!$D$12/((VLOOKUP(A15,[1]!TOX,15,FALSE))*(VLOOKUP(A15,DWInhale,12,FALSE))), '[1]Target Risk'!$D$12/((VLOOKUP(A15,[1]!TOX,15,FALSE))*(VLOOKUP(A15,DWInhale,11,FALSE)))))</f>
        <v>0.33564605567301975</v>
      </c>
      <c r="O15" s="520">
        <f>IF(OR(VLOOKUP(A15,[1]!TOX,15,FALSE)=0, NOT(VLOOKUP(A15,[1]!TOX,36,FALSE)="M")),0,'[1]Target Risk'!$D$12/(VLOOKUP(A15,[1]!TOX,15,FALSE)*VLOOKUP(A15,DWInhale,12,FALSE)))</f>
        <v>0</v>
      </c>
    </row>
    <row r="16" spans="1:15" x14ac:dyDescent="0.25">
      <c r="A16" s="510" t="s">
        <v>168</v>
      </c>
      <c r="B16" s="511">
        <f>(VLOOKUP(A16,[1]!TOX,54,FALSE))</f>
        <v>1.2E-5</v>
      </c>
      <c r="C16" s="512">
        <f>(VLOOKUP(A16,[1]!TOX,57,FALSE))</f>
        <v>228</v>
      </c>
      <c r="D16" s="513">
        <f>IF(C16=0,0,'GW-1 Exp'!$F$58*(18/C16)^0.5)</f>
        <v>842.92723042352452</v>
      </c>
      <c r="E16" s="514">
        <f>IF(C16=0,0,'GW-1 Exp'!$G$58*(44/C16)^0.5)</f>
        <v>8.7859537021395884</v>
      </c>
      <c r="F16" s="514">
        <f>IF(B16*D16=0,0,((1/E16)+(('GW-1 Exp'!$E$58*'GW-1 Exp'!$M$58)/(B16*D16)))^-1)</f>
        <v>0.40175607575405731</v>
      </c>
      <c r="G16" s="514">
        <f>F16*(('GW-1 Exp'!$H$58*'GW-1 Exp'!$J$58)/('GW-1 Exp'!$N$58*'GW-1 Exp'!$I$58))^-0.5</f>
        <v>0.54269139329465066</v>
      </c>
      <c r="H16" s="514">
        <f>(1-EXP((-1*G16*'GW-1 Exp'!$D$58)/(60*'GW-1 Exp'!$C$58)))</f>
        <v>1.7927076409942955E-2</v>
      </c>
      <c r="I16" s="515">
        <f>H16*'GW-1 Exp'!$P$58/'GW-1 Exp'!$Q$58</f>
        <v>2.9878460683238257E-2</v>
      </c>
      <c r="J16" s="516">
        <f>(('GW-1 Inhale'!$I16)/('GW-1 Exp'!$R$58))*('GW-1 Exp'!$S$48+(EXP(-1*'GW-1 Exp'!$R$58*'GW-1 Exp'!$T$48)/'GW-1 Exp'!$R$58)-(EXP('GW-1 Exp'!$R$58*('GW-1 Exp'!$S$48-'GW-1 Exp'!$T$48))/'GW-1 Exp'!$R$58))*('GW-1 Exp'!$U$48*'GW-1 Exp'!$V$48*'GW-1 Exp'!$W$48*'GW-1 Exp'!$X$48*'GW-1 Exp'!$AB$58/'GW-1 Exp'!$Y$48)</f>
        <v>1.9560585185589369E-2</v>
      </c>
      <c r="K16" s="758">
        <f>(('GW-1 Inhale'!$I16)/('GW-1 Exp'!$R$58))*('GW-1 Exp'!$S$56+(EXP(-1*'GW-1 Exp'!$R$58*'GW-1 Exp'!$T$56)/'GW-1 Exp'!$R$58)-(EXP('GW-1 Exp'!$R$58*('GW-1 Exp'!$S$56-'GW-1 Exp'!$T$56))/'GW-1 Exp'!$R$58))*('GW-1 Exp'!$U$56*'GW-1 Exp'!$V$56*'GW-1 Exp'!$W$56*'GW-1 Exp'!$X$56*'GW-1 Exp'!$AB$58/'GW-1 Exp'!$Y$56)</f>
        <v>1.4371379545281723E-2</v>
      </c>
      <c r="L16" s="517">
        <f xml:space="preserve"> IF(VLOOKUP(A16,[1]!TOX,36,FALSE)="M",((((('GW-1 Inhale'!$I16)/('GW-1 Exp'!$R$63))*('GW-1 Exp'!$S$63+(EXP(-1*'GW-1 Exp'!$R$63*'GW-1 Exp'!$T$63)/'GW-1 Exp'!$R$63)-(EXP('GW-1 Exp'!$R$63*('GW-1 Exp'!$S$63-'GW-1 Exp'!$T$63))/'GW-1 Exp'!$R$63))*('GW-1 Exp'!$U$63*'GW-1 Exp'!$V$63*'GW-1 Exp'!$W$63*'GW-1 Exp'!$X$63*'GW-1 Exp'!$AB$63/'GW-1 Exp'!$Y$63)*10))+(((('GW-1 Inhale'!$I16)/('GW-1 Exp'!$R$64))*('GW-1 Exp'!$S$64+(EXP(-1*'GW-1 Exp'!$R$64*'GW-1 Exp'!$T$64)/'GW-1 Exp'!$R$64)-(EXP('GW-1 Exp'!$R$64*('GW-1 Exp'!$S$64-'GW-1 Exp'!$T$64))/'GW-1 Exp'!$R$64))*('GW-1 Exp'!$U$64*'GW-1 Exp'!$V$64*'GW-1 Exp'!$W$64*'GW-1 Exp'!$X$64*'GW-1 Exp'!$AB$64/'GW-1 Exp'!$Y$64))*3)+(((('GW-1 Inhale'!$I16)/('GW-1 Exp'!$R$65))*('GW-1 Exp'!$S$65+(EXP(-1*'GW-1 Exp'!$R$65*'GW-1 Exp'!$T$65)/'GW-1 Exp'!$R$65)-(EXP('GW-1 Exp'!$R$65*('GW-1 Exp'!$S$65-'GW-1 Exp'!$T$65))/'GW-1 Exp'!$R$65))*('GW-1 Exp'!$U$65*'GW-1 Exp'!$V$65*'GW-1 Exp'!$W$65*'GW-1 Exp'!$X$65*'GW-1 Exp'!$AB$65/'GW-1 Exp'!$Y$65))*3)+(((('GW-1 Inhale'!$I16)/('GW-1 Exp'!$R$66))*('GW-1 Exp'!$S$66+(EXP(-1*'GW-1 Exp'!$R$66*'GW-1 Exp'!$T$66)/'GW-1 Exp'!$R$66)-(EXP('GW-1 Exp'!$R$66*('GW-1 Exp'!$S$66-'GW-1 Exp'!$T$66))/'GW-1 Exp'!$R$66))*('GW-1 Exp'!$U$66*'GW-1 Exp'!$V$66*'GW-1 Exp'!$W$66*'GW-1 Exp'!$X$66*'GW-1 Exp'!$AB$66/'GW-1 Exp'!$Y$66))*1)),0)</f>
        <v>3.0274558708008339E-2</v>
      </c>
      <c r="M16" s="518">
        <f>IF(OR((VLOOKUP(A16,[1]!TOX,8,FALSE))=0,J16=0),0,'[1]Target Risk'!$D$8*(VLOOKUP(A16,[1]!TOX,8,FALSE))*'GW-1 Exp'!$Z$58/(VLOOKUP(A16,DWInhale,10,FALSE)))</f>
        <v>511.23214899353724</v>
      </c>
      <c r="N16" s="519">
        <f>IF(OR(K16=0,(VLOOKUP(A16,[1]!TOX,15,FALSE))=0),0,IF(VLOOKUP(A16,[1]!TOX,36,FALSE)="M",'[1]Target Risk'!$D$12/((VLOOKUP(A16,[1]!TOX,15,FALSE))*(VLOOKUP(A16,DWInhale,12,FALSE))), '[1]Target Risk'!$D$12/((VLOOKUP(A16,[1]!TOX,15,FALSE))*(VLOOKUP(A16,DWInhale,11,FALSE)))))</f>
        <v>0.55051724543413205</v>
      </c>
      <c r="O16" s="520">
        <f>IF(OR(VLOOKUP(A16,[1]!TOX,15,FALSE)=0, NOT(VLOOKUP(A16,[1]!TOX,36,FALSE)="M")),0,'[1]Target Risk'!$D$12/(VLOOKUP(A16,[1]!TOX,15,FALSE)*VLOOKUP(A16,DWInhale,12,FALSE)))</f>
        <v>0.55051724543413205</v>
      </c>
    </row>
    <row r="17" spans="1:15" x14ac:dyDescent="0.25">
      <c r="A17" s="510" t="s">
        <v>169</v>
      </c>
      <c r="B17" s="511">
        <f>(VLOOKUP(A17,[1]!TOX,54,FALSE))</f>
        <v>4.5699999999999998E-7</v>
      </c>
      <c r="C17" s="512">
        <f>(VLOOKUP(A17,[1]!TOX,57,FALSE))</f>
        <v>252</v>
      </c>
      <c r="D17" s="513">
        <f>IF(C17=0,0,'GW-1 Exp'!$F$58*(18/C17)^0.5)</f>
        <v>801.78372573727324</v>
      </c>
      <c r="E17" s="514">
        <f>IF(C17=0,0,'GW-1 Exp'!$G$58*(44/C17)^0.5)</f>
        <v>8.3571089403734486</v>
      </c>
      <c r="F17" s="514">
        <f>IF(B17*D17=0,0,((1/E17)+(('GW-1 Exp'!$E$58*'GW-1 Exp'!$M$58)/(B17*D17)))^-1)</f>
        <v>1.522299652585893E-2</v>
      </c>
      <c r="G17" s="514">
        <f>F17*(('GW-1 Exp'!$H$58*'GW-1 Exp'!$J$58)/('GW-1 Exp'!$N$58*'GW-1 Exp'!$I$58))^-0.5</f>
        <v>2.056319665914742E-2</v>
      </c>
      <c r="H17" s="514">
        <f>(1-EXP((-1*G17*'GW-1 Exp'!$D$58)/(60*'GW-1 Exp'!$C$58)))</f>
        <v>6.8520502838165243E-4</v>
      </c>
      <c r="I17" s="515">
        <f>H17*'GW-1 Exp'!$P$58/'GW-1 Exp'!$Q$58</f>
        <v>1.1420083806360874E-3</v>
      </c>
      <c r="J17" s="516">
        <f>(('GW-1 Inhale'!$I17)/('GW-1 Exp'!$R$58))*('GW-1 Exp'!$S$48+(EXP(-1*'GW-1 Exp'!$R$58*'GW-1 Exp'!$T$48)/'GW-1 Exp'!$R$58)-(EXP('GW-1 Exp'!$R$58*('GW-1 Exp'!$S$48-'GW-1 Exp'!$T$48))/'GW-1 Exp'!$R$58))*('GW-1 Exp'!$U$48*'GW-1 Exp'!$V$48*'GW-1 Exp'!$W$48*'GW-1 Exp'!$X$48*'GW-1 Exp'!$AB$58/'GW-1 Exp'!$Y$48)</f>
        <v>7.4764066492290617E-4</v>
      </c>
      <c r="K17" s="758">
        <f>(('GW-1 Inhale'!$I17)/('GW-1 Exp'!$R$58))*('GW-1 Exp'!$S$56+(EXP(-1*'GW-1 Exp'!$R$58*'GW-1 Exp'!$T$56)/'GW-1 Exp'!$R$58)-(EXP('GW-1 Exp'!$R$58*('GW-1 Exp'!$S$56-'GW-1 Exp'!$T$56))/'GW-1 Exp'!$R$58))*('GW-1 Exp'!$U$56*'GW-1 Exp'!$V$56*'GW-1 Exp'!$W$56*'GW-1 Exp'!$X$56*'GW-1 Exp'!$AB$58/'GW-1 Exp'!$Y$56)</f>
        <v>5.4929991394171783E-4</v>
      </c>
      <c r="L17" s="517">
        <f xml:space="preserve"> IF(VLOOKUP(A17,[1]!TOX,36,FALSE)="M",((((('GW-1 Inhale'!$I17)/('GW-1 Exp'!$R$63))*('GW-1 Exp'!$S$63+(EXP(-1*'GW-1 Exp'!$R$63*'GW-1 Exp'!$T$63)/'GW-1 Exp'!$R$63)-(EXP('GW-1 Exp'!$R$63*('GW-1 Exp'!$S$63-'GW-1 Exp'!$T$63))/'GW-1 Exp'!$R$63))*('GW-1 Exp'!$U$63*'GW-1 Exp'!$V$63*'GW-1 Exp'!$W$63*'GW-1 Exp'!$X$63*'GW-1 Exp'!$AB$63/'GW-1 Exp'!$Y$63)*10))+(((('GW-1 Inhale'!$I17)/('GW-1 Exp'!$R$64))*('GW-1 Exp'!$S$64+(EXP(-1*'GW-1 Exp'!$R$64*'GW-1 Exp'!$T$64)/'GW-1 Exp'!$R$64)-(EXP('GW-1 Exp'!$R$64*('GW-1 Exp'!$S$64-'GW-1 Exp'!$T$64))/'GW-1 Exp'!$R$64))*('GW-1 Exp'!$U$64*'GW-1 Exp'!$V$64*'GW-1 Exp'!$W$64*'GW-1 Exp'!$X$64*'GW-1 Exp'!$AB$64/'GW-1 Exp'!$Y$64))*3)+(((('GW-1 Inhale'!$I17)/('GW-1 Exp'!$R$65))*('GW-1 Exp'!$S$65+(EXP(-1*'GW-1 Exp'!$R$65*'GW-1 Exp'!$T$65)/'GW-1 Exp'!$R$65)-(EXP('GW-1 Exp'!$R$65*('GW-1 Exp'!$S$65-'GW-1 Exp'!$T$65))/'GW-1 Exp'!$R$65))*('GW-1 Exp'!$U$65*'GW-1 Exp'!$V$65*'GW-1 Exp'!$W$65*'GW-1 Exp'!$X$65*'GW-1 Exp'!$AB$65/'GW-1 Exp'!$Y$65))*3)+(((('GW-1 Inhale'!$I17)/('GW-1 Exp'!$R$66))*('GW-1 Exp'!$S$66+(EXP(-1*'GW-1 Exp'!$R$66*'GW-1 Exp'!$T$66)/'GW-1 Exp'!$R$66)-(EXP('GW-1 Exp'!$R$66*('GW-1 Exp'!$S$66-'GW-1 Exp'!$T$66))/'GW-1 Exp'!$R$66))*('GW-1 Exp'!$U$66*'GW-1 Exp'!$V$66*'GW-1 Exp'!$W$66*'GW-1 Exp'!$X$66*'GW-1 Exp'!$AB$66/'GW-1 Exp'!$Y$66))*1)),0)</f>
        <v>1.1571479578933123E-3</v>
      </c>
      <c r="M17" s="518">
        <f>IF(OR((VLOOKUP(A17,[1]!TOX,8,FALSE))=0,J17=0),0,'[1]Target Risk'!$D$8*(VLOOKUP(A17,[1]!TOX,8,FALSE))*'GW-1 Exp'!$Z$58/(VLOOKUP(A17,DWInhale,10,FALSE)))</f>
        <v>0.53501637720742012</v>
      </c>
      <c r="N17" s="519">
        <f>IF(OR(K17=0,(VLOOKUP(A17,[1]!TOX,15,FALSE))=0),0,IF(VLOOKUP(A17,[1]!TOX,36,FALSE)="M",'[1]Target Risk'!$D$12/((VLOOKUP(A17,[1]!TOX,15,FALSE))*(VLOOKUP(A17,DWInhale,12,FALSE))), '[1]Target Risk'!$D$12/((VLOOKUP(A17,[1]!TOX,15,FALSE))*(VLOOKUP(A17,DWInhale,11,FALSE)))))</f>
        <v>1.4403228690832044</v>
      </c>
      <c r="O17" s="520">
        <f>IF(OR(VLOOKUP(A17,[1]!TOX,15,FALSE)=0, NOT(VLOOKUP(A17,[1]!TOX,36,FALSE)="M")),0,'[1]Target Risk'!$D$12/(VLOOKUP(A17,[1]!TOX,15,FALSE)*VLOOKUP(A17,DWInhale,12,FALSE)))</f>
        <v>1.4403228690832044</v>
      </c>
    </row>
    <row r="18" spans="1:15" x14ac:dyDescent="0.25">
      <c r="A18" s="510" t="s">
        <v>170</v>
      </c>
      <c r="B18" s="511">
        <f>(VLOOKUP(A18,[1]!TOX,54,FALSE))</f>
        <v>6.5700000000000002E-7</v>
      </c>
      <c r="C18" s="512">
        <f>(VLOOKUP(A18,[1]!TOX,57,FALSE))</f>
        <v>252</v>
      </c>
      <c r="D18" s="513">
        <f>IF(C18=0,0,'GW-1 Exp'!$F$58*(18/C18)^0.5)</f>
        <v>801.78372573727324</v>
      </c>
      <c r="E18" s="514">
        <f>IF(C18=0,0,'GW-1 Exp'!$G$58*(44/C18)^0.5)</f>
        <v>8.3571089403734486</v>
      </c>
      <c r="F18" s="514">
        <f>IF(B18*D18=0,0,((1/E18)+(('GW-1 Exp'!$E$58*'GW-1 Exp'!$M$58)/(B18*D18)))^-1)</f>
        <v>2.1867706867372053E-2</v>
      </c>
      <c r="G18" s="514">
        <f>F18*(('GW-1 Exp'!$H$58*'GW-1 Exp'!$J$58)/('GW-1 Exp'!$N$58*'GW-1 Exp'!$I$58))^-0.5</f>
        <v>2.9538859582245634E-2</v>
      </c>
      <c r="H18" s="514">
        <f>(1-EXP((-1*G18*'GW-1 Exp'!$D$58)/(60*'GW-1 Exp'!$C$58)))</f>
        <v>9.841440650090183E-4</v>
      </c>
      <c r="I18" s="515">
        <f>H18*'GW-1 Exp'!$P$58/'GW-1 Exp'!$Q$58</f>
        <v>1.6402401083483638E-3</v>
      </c>
      <c r="J18" s="516">
        <f>(('GW-1 Inhale'!$I18)/('GW-1 Exp'!$R$58))*('GW-1 Exp'!$S$48+(EXP(-1*'GW-1 Exp'!$R$58*'GW-1 Exp'!$T$48)/'GW-1 Exp'!$R$58)-(EXP('GW-1 Exp'!$R$58*('GW-1 Exp'!$S$48-'GW-1 Exp'!$T$48))/'GW-1 Exp'!$R$58))*('GW-1 Exp'!$U$48*'GW-1 Exp'!$V$48*'GW-1 Exp'!$W$48*'GW-1 Exp'!$X$48*'GW-1 Exp'!$AB$58/'GW-1 Exp'!$Y$48)</f>
        <v>1.0738189193986013E-3</v>
      </c>
      <c r="K18" s="758">
        <f>(('GW-1 Inhale'!$I18)/('GW-1 Exp'!$R$58))*('GW-1 Exp'!$S$56+(EXP(-1*'GW-1 Exp'!$R$58*'GW-1 Exp'!$T$56)/'GW-1 Exp'!$R$58)-(EXP('GW-1 Exp'!$R$58*('GW-1 Exp'!$S$56-'GW-1 Exp'!$T$56))/'GW-1 Exp'!$R$58))*('GW-1 Exp'!$U$56*'GW-1 Exp'!$V$56*'GW-1 Exp'!$W$56*'GW-1 Exp'!$X$56*'GW-1 Exp'!$AB$58/'GW-1 Exp'!$Y$56)</f>
        <v>7.8894670620339134E-4</v>
      </c>
      <c r="L18" s="517">
        <f xml:space="preserve"> IF(VLOOKUP(A18,[1]!TOX,36,FALSE)="M",((((('GW-1 Inhale'!$I18)/('GW-1 Exp'!$R$63))*('GW-1 Exp'!$S$63+(EXP(-1*'GW-1 Exp'!$R$63*'GW-1 Exp'!$T$63)/'GW-1 Exp'!$R$63)-(EXP('GW-1 Exp'!$R$63*('GW-1 Exp'!$S$63-'GW-1 Exp'!$T$63))/'GW-1 Exp'!$R$63))*('GW-1 Exp'!$U$63*'GW-1 Exp'!$V$63*'GW-1 Exp'!$W$63*'GW-1 Exp'!$X$63*'GW-1 Exp'!$AB$63/'GW-1 Exp'!$Y$63)*10))+(((('GW-1 Inhale'!$I18)/('GW-1 Exp'!$R$64))*('GW-1 Exp'!$S$64+(EXP(-1*'GW-1 Exp'!$R$64*'GW-1 Exp'!$T$64)/'GW-1 Exp'!$R$64)-(EXP('GW-1 Exp'!$R$64*('GW-1 Exp'!$S$64-'GW-1 Exp'!$T$64))/'GW-1 Exp'!$R$64))*('GW-1 Exp'!$U$64*'GW-1 Exp'!$V$64*'GW-1 Exp'!$W$64*'GW-1 Exp'!$X$64*'GW-1 Exp'!$AB$64/'GW-1 Exp'!$Y$64))*3)+(((('GW-1 Inhale'!$I18)/('GW-1 Exp'!$R$65))*('GW-1 Exp'!$S$65+(EXP(-1*'GW-1 Exp'!$R$65*'GW-1 Exp'!$T$65)/'GW-1 Exp'!$R$65)-(EXP('GW-1 Exp'!$R$65*('GW-1 Exp'!$S$65-'GW-1 Exp'!$T$65))/'GW-1 Exp'!$R$65))*('GW-1 Exp'!$U$65*'GW-1 Exp'!$V$65*'GW-1 Exp'!$W$65*'GW-1 Exp'!$X$65*'GW-1 Exp'!$AB$65/'GW-1 Exp'!$Y$65))*3)+(((('GW-1 Inhale'!$I18)/('GW-1 Exp'!$R$66))*('GW-1 Exp'!$S$66+(EXP(-1*'GW-1 Exp'!$R$66*'GW-1 Exp'!$T$66)/'GW-1 Exp'!$R$66)-(EXP('GW-1 Exp'!$R$66*('GW-1 Exp'!$S$66-'GW-1 Exp'!$T$66))/'GW-1 Exp'!$R$66))*('GW-1 Exp'!$U$66*'GW-1 Exp'!$V$66*'GW-1 Exp'!$W$66*'GW-1 Exp'!$X$66*'GW-1 Exp'!$AB$66/'GW-1 Exp'!$Y$66))*1)),0)</f>
        <v>1.6619847314718011E-3</v>
      </c>
      <c r="M18" s="518">
        <f>IF(OR((VLOOKUP(A18,[1]!TOX,8,FALSE))=0,J18=0),0,'[1]Target Risk'!$D$8*(VLOOKUP(A18,[1]!TOX,8,FALSE))*'GW-1 Exp'!$Z$58/(VLOOKUP(A18,DWInhale,10,FALSE)))</f>
        <v>9312.5570981749515</v>
      </c>
      <c r="N18" s="519">
        <f>IF(OR(K18=0,(VLOOKUP(A18,[1]!TOX,15,FALSE))=0),0,IF(VLOOKUP(A18,[1]!TOX,36,FALSE)="M",'[1]Target Risk'!$D$12/((VLOOKUP(A18,[1]!TOX,15,FALSE))*(VLOOKUP(A18,DWInhale,12,FALSE))), '[1]Target Risk'!$D$12/((VLOOKUP(A18,[1]!TOX,15,FALSE))*(VLOOKUP(A18,DWInhale,11,FALSE)))))</f>
        <v>10.028170747337247</v>
      </c>
      <c r="O18" s="520">
        <f>IF(OR(VLOOKUP(A18,[1]!TOX,15,FALSE)=0, NOT(VLOOKUP(A18,[1]!TOX,36,FALSE)="M")),0,'[1]Target Risk'!$D$12/(VLOOKUP(A18,[1]!TOX,15,FALSE)*VLOOKUP(A18,DWInhale,12,FALSE)))</f>
        <v>10.028170747337247</v>
      </c>
    </row>
    <row r="19" spans="1:15" x14ac:dyDescent="0.25">
      <c r="A19" s="510" t="s">
        <v>171</v>
      </c>
      <c r="B19" s="511">
        <f>(VLOOKUP(A19,[1]!TOX,54,FALSE))</f>
        <v>3.3099999999999999E-7</v>
      </c>
      <c r="C19" s="512">
        <f>(VLOOKUP(A19,[1]!TOX,57,FALSE))</f>
        <v>276</v>
      </c>
      <c r="D19" s="513">
        <f>IF(C19=0,0,'GW-1 Exp'!$F$58*(18/C19)^0.5)</f>
        <v>766.1308776828738</v>
      </c>
      <c r="E19" s="514">
        <f>IF(C19=0,0,'GW-1 Exp'!$G$58*(44/C19)^0.5)</f>
        <v>7.9854940950469047</v>
      </c>
      <c r="F19" s="514">
        <f>IF(B19*D19=0,0,((1/E19)+(('GW-1 Exp'!$E$58*'GW-1 Exp'!$M$58)/(B19*D19)))^-1)</f>
        <v>1.0540855012104619E-2</v>
      </c>
      <c r="G19" s="514">
        <f>F19*(('GW-1 Exp'!$H$58*'GW-1 Exp'!$J$58)/('GW-1 Exp'!$N$58*'GW-1 Exp'!$I$58))^-0.5</f>
        <v>1.423856822152412E-2</v>
      </c>
      <c r="H19" s="514">
        <f>(1-EXP((-1*G19*'GW-1 Exp'!$D$58)/(60*'GW-1 Exp'!$C$58)))</f>
        <v>4.7450632696488526E-4</v>
      </c>
      <c r="I19" s="515">
        <f>H19*'GW-1 Exp'!$P$58/'GW-1 Exp'!$Q$58</f>
        <v>7.9084387827480873E-4</v>
      </c>
      <c r="J19" s="516">
        <f>(('GW-1 Inhale'!$I19)/('GW-1 Exp'!$R$58))*('GW-1 Exp'!$S$48+(EXP(-1*'GW-1 Exp'!$R$58*'GW-1 Exp'!$T$48)/'GW-1 Exp'!$R$58)-(EXP('GW-1 Exp'!$R$58*('GW-1 Exp'!$S$48-'GW-1 Exp'!$T$48))/'GW-1 Exp'!$R$58))*('GW-1 Exp'!$U$48*'GW-1 Exp'!$V$48*'GW-1 Exp'!$W$48*'GW-1 Exp'!$X$48*'GW-1 Exp'!$AB$58/'GW-1 Exp'!$Y$48)</f>
        <v>5.1774317336818307E-4</v>
      </c>
      <c r="K19" s="517">
        <f>(('GW-1 Inhale'!$I19)/('GW-1 Exp'!$R$58))*('GW-1 Exp'!$S$56+(EXP(-1*'GW-1 Exp'!$R$58*'GW-1 Exp'!$T$56)/'GW-1 Exp'!$R$58)-(EXP('GW-1 Exp'!$R$58*('GW-1 Exp'!$S$56-'GW-1 Exp'!$T$56))/'GW-1 Exp'!$R$58))*('GW-1 Exp'!$U$56*'GW-1 Exp'!$V$56*'GW-1 Exp'!$W$56*'GW-1 Exp'!$X$56*'GW-1 Exp'!$AB$58/'GW-1 Exp'!$Y$56)</f>
        <v>3.8039166931132712E-4</v>
      </c>
      <c r="L19" s="517">
        <f xml:space="preserve"> IF(VLOOKUP(A19,[1]!TOX,36,FALSE)="M",((((('GW-1 Inhale'!$I19)/('GW-1 Exp'!$R$63))*('GW-1 Exp'!$S$63+(EXP(-1*'GW-1 Exp'!$R$63*'GW-1 Exp'!$T$63)/'GW-1 Exp'!$R$63)-(EXP('GW-1 Exp'!$R$63*('GW-1 Exp'!$S$63-'GW-1 Exp'!$T$63))/'GW-1 Exp'!$R$63))*('GW-1 Exp'!$U$63*'GW-1 Exp'!$V$63*'GW-1 Exp'!$W$63*'GW-1 Exp'!$X$63*'GW-1 Exp'!$AB$63/'GW-1 Exp'!$Y$63)*10))+(((('GW-1 Inhale'!$I19)/('GW-1 Exp'!$R$64))*('GW-1 Exp'!$S$64+(EXP(-1*'GW-1 Exp'!$R$64*'GW-1 Exp'!$T$64)/'GW-1 Exp'!$R$64)-(EXP('GW-1 Exp'!$R$64*('GW-1 Exp'!$S$64-'GW-1 Exp'!$T$64))/'GW-1 Exp'!$R$64))*('GW-1 Exp'!$U$64*'GW-1 Exp'!$V$64*'GW-1 Exp'!$W$64*'GW-1 Exp'!$X$64*'GW-1 Exp'!$AB$64/'GW-1 Exp'!$Y$64))*3)+(((('GW-1 Inhale'!$I19)/('GW-1 Exp'!$R$65))*('GW-1 Exp'!$S$65+(EXP(-1*'GW-1 Exp'!$R$65*'GW-1 Exp'!$T$65)/'GW-1 Exp'!$R$65)-(EXP('GW-1 Exp'!$R$65*('GW-1 Exp'!$S$65-'GW-1 Exp'!$T$65))/'GW-1 Exp'!$R$65))*('GW-1 Exp'!$U$65*'GW-1 Exp'!$V$65*'GW-1 Exp'!$W$65*'GW-1 Exp'!$X$65*'GW-1 Exp'!$AB$65/'GW-1 Exp'!$Y$65))*3)+(((('GW-1 Inhale'!$I19)/('GW-1 Exp'!$R$66))*('GW-1 Exp'!$S$66+(EXP(-1*'GW-1 Exp'!$R$66*'GW-1 Exp'!$T$66)/'GW-1 Exp'!$R$66)-(EXP('GW-1 Exp'!$R$66*('GW-1 Exp'!$S$66-'GW-1 Exp'!$T$66))/'GW-1 Exp'!$R$66))*('GW-1 Exp'!$U$66*'GW-1 Exp'!$V$66*'GW-1 Exp'!$W$66*'GW-1 Exp'!$X$66*'GW-1 Exp'!$AB$66/'GW-1 Exp'!$Y$66))*1)),0)</f>
        <v>0</v>
      </c>
      <c r="M19" s="518">
        <f>IF(OR((VLOOKUP(A19,[1]!TOX,8,FALSE))=0,J19=0),0,'[1]Target Risk'!$D$8*(VLOOKUP(A19,[1]!TOX,8,FALSE))*'GW-1 Exp'!$Z$58/(VLOOKUP(A19,DWInhale,10,FALSE)))</f>
        <v>19314.595564717751</v>
      </c>
      <c r="N19" s="519">
        <f>IF(OR(K19=0,(VLOOKUP(A19,[1]!TOX,15,FALSE))=0),0,IF(VLOOKUP(A19,[1]!TOX,36,FALSE)="M",'[1]Target Risk'!$D$12/((VLOOKUP(A19,[1]!TOX,15,FALSE))*(VLOOKUP(A19,DWInhale,12,FALSE))), '[1]Target Risk'!$D$12/((VLOOKUP(A19,[1]!TOX,15,FALSE))*(VLOOKUP(A19,DWInhale,11,FALSE)))))</f>
        <v>0</v>
      </c>
      <c r="O19" s="520">
        <f>IF(OR(VLOOKUP(A19,[1]!TOX,15,FALSE)=0, NOT(VLOOKUP(A19,[1]!TOX,36,FALSE)="M")),0,'[1]Target Risk'!$D$12/(VLOOKUP(A19,[1]!TOX,15,FALSE)*VLOOKUP(A19,DWInhale,12,FALSE)))</f>
        <v>0</v>
      </c>
    </row>
    <row r="20" spans="1:15" x14ac:dyDescent="0.25">
      <c r="A20" s="510" t="s">
        <v>172</v>
      </c>
      <c r="B20" s="511">
        <f>(VLOOKUP(A20,[1]!TOX,54,FALSE))</f>
        <v>5.8400000000000004E-7</v>
      </c>
      <c r="C20" s="512">
        <f>(VLOOKUP(A20,[1]!TOX,57,FALSE))</f>
        <v>252</v>
      </c>
      <c r="D20" s="513">
        <f>IF(C20=0,0,'GW-1 Exp'!$F$58*(18/C20)^0.5)</f>
        <v>801.78372573727324</v>
      </c>
      <c r="E20" s="514">
        <f>IF(C20=0,0,'GW-1 Exp'!$G$58*(44/C20)^0.5)</f>
        <v>8.3571089403734486</v>
      </c>
      <c r="F20" s="514">
        <f>IF(B20*D20=0,0,((1/E20)+(('GW-1 Exp'!$E$58*'GW-1 Exp'!$M$58)/(B20*D20)))^-1)</f>
        <v>1.9443614694920067E-2</v>
      </c>
      <c r="G20" s="514">
        <f>F20*(('GW-1 Exp'!$H$58*'GW-1 Exp'!$J$58)/('GW-1 Exp'!$N$58*'GW-1 Exp'!$I$58))^-0.5</f>
        <v>2.6264400182786661E-2</v>
      </c>
      <c r="H20" s="514">
        <f>(1-EXP((-1*G20*'GW-1 Exp'!$D$58)/(60*'GW-1 Exp'!$C$58)))</f>
        <v>8.7509688528542018E-4</v>
      </c>
      <c r="I20" s="515">
        <f>H20*'GW-1 Exp'!$P$58/'GW-1 Exp'!$Q$58</f>
        <v>1.4584948088090337E-3</v>
      </c>
      <c r="J20" s="516">
        <f>(('GW-1 Inhale'!$I20)/('GW-1 Exp'!$R$58))*('GW-1 Exp'!$S$48+(EXP(-1*'GW-1 Exp'!$R$58*'GW-1 Exp'!$T$48)/'GW-1 Exp'!$R$58)-(EXP('GW-1 Exp'!$R$58*('GW-1 Exp'!$S$48-'GW-1 Exp'!$T$48))/'GW-1 Exp'!$R$58))*('GW-1 Exp'!$U$48*'GW-1 Exp'!$V$48*'GW-1 Exp'!$W$48*'GW-1 Exp'!$X$48*'GW-1 Exp'!$AB$58/'GW-1 Exp'!$Y$48)</f>
        <v>9.5483539975182486E-4</v>
      </c>
      <c r="K20" s="758">
        <f>(('GW-1 Inhale'!$I20)/('GW-1 Exp'!$R$58))*('GW-1 Exp'!$S$56+(EXP(-1*'GW-1 Exp'!$R$58*'GW-1 Exp'!$T$56)/'GW-1 Exp'!$R$58)-(EXP('GW-1 Exp'!$R$58*('GW-1 Exp'!$S$56-'GW-1 Exp'!$T$56))/'GW-1 Exp'!$R$58))*('GW-1 Exp'!$U$56*'GW-1 Exp'!$V$56*'GW-1 Exp'!$W$56*'GW-1 Exp'!$X$56*'GW-1 Exp'!$AB$58/'GW-1 Exp'!$Y$56)</f>
        <v>7.0152819063990673E-4</v>
      </c>
      <c r="L20" s="517">
        <f xml:space="preserve"> IF(VLOOKUP(A20,[1]!TOX,36,FALSE)="M",((((('GW-1 Inhale'!$I20)/('GW-1 Exp'!$R$63))*('GW-1 Exp'!$S$63+(EXP(-1*'GW-1 Exp'!$R$63*'GW-1 Exp'!$T$63)/'GW-1 Exp'!$R$63)-(EXP('GW-1 Exp'!$R$63*('GW-1 Exp'!$S$63-'GW-1 Exp'!$T$63))/'GW-1 Exp'!$R$63))*('GW-1 Exp'!$U$63*'GW-1 Exp'!$V$63*'GW-1 Exp'!$W$63*'GW-1 Exp'!$X$63*'GW-1 Exp'!$AB$63/'GW-1 Exp'!$Y$63)*10))+(((('GW-1 Inhale'!$I20)/('GW-1 Exp'!$R$64))*('GW-1 Exp'!$S$64+(EXP(-1*'GW-1 Exp'!$R$64*'GW-1 Exp'!$T$64)/'GW-1 Exp'!$R$64)-(EXP('GW-1 Exp'!$R$64*('GW-1 Exp'!$S$64-'GW-1 Exp'!$T$64))/'GW-1 Exp'!$R$64))*('GW-1 Exp'!$U$64*'GW-1 Exp'!$V$64*'GW-1 Exp'!$W$64*'GW-1 Exp'!$X$64*'GW-1 Exp'!$AB$64/'GW-1 Exp'!$Y$64))*3)+(((('GW-1 Inhale'!$I20)/('GW-1 Exp'!$R$65))*('GW-1 Exp'!$S$65+(EXP(-1*'GW-1 Exp'!$R$65*'GW-1 Exp'!$T$65)/'GW-1 Exp'!$R$65)-(EXP('GW-1 Exp'!$R$65*('GW-1 Exp'!$S$65-'GW-1 Exp'!$T$65))/'GW-1 Exp'!$R$65))*('GW-1 Exp'!$U$65*'GW-1 Exp'!$V$65*'GW-1 Exp'!$W$65*'GW-1 Exp'!$X$65*'GW-1 Exp'!$AB$65/'GW-1 Exp'!$Y$65))*3)+(((('GW-1 Inhale'!$I20)/('GW-1 Exp'!$R$66))*('GW-1 Exp'!$S$66+(EXP(-1*'GW-1 Exp'!$R$66*'GW-1 Exp'!$T$66)/'GW-1 Exp'!$R$66)-(EXP('GW-1 Exp'!$R$66*('GW-1 Exp'!$S$66-'GW-1 Exp'!$T$66))/'GW-1 Exp'!$R$66))*('GW-1 Exp'!$U$66*'GW-1 Exp'!$V$66*'GW-1 Exp'!$W$66*'GW-1 Exp'!$X$66*'GW-1 Exp'!$AB$66/'GW-1 Exp'!$Y$66))*1)),0)</f>
        <v>1.4778300389278588E-3</v>
      </c>
      <c r="M20" s="518">
        <f>IF(OR((VLOOKUP(A20,[1]!TOX,8,FALSE))=0,J20=0),0,'[1]Target Risk'!$D$8*(VLOOKUP(A20,[1]!TOX,8,FALSE))*'GW-1 Exp'!$Z$58/(VLOOKUP(A20,DWInhale,10,FALSE)))</f>
        <v>10473.009277409637</v>
      </c>
      <c r="N20" s="519">
        <f>IF(OR(K20=0,(VLOOKUP(A20,[1]!TOX,15,FALSE))=0),0,IF(VLOOKUP(A20,[1]!TOX,36,FALSE)="M",'[1]Target Risk'!$D$12/((VLOOKUP(A20,[1]!TOX,15,FALSE))*(VLOOKUP(A20,DWInhale,12,FALSE))), '[1]Target Risk'!$D$12/((VLOOKUP(A20,[1]!TOX,15,FALSE))*(VLOOKUP(A20,DWInhale,11,FALSE)))))</f>
        <v>112.77796652961565</v>
      </c>
      <c r="O20" s="520">
        <f>IF(OR(VLOOKUP(A20,[1]!TOX,15,FALSE)=0, NOT(VLOOKUP(A20,[1]!TOX,36,FALSE)="M")),0,'[1]Target Risk'!$D$12/(VLOOKUP(A20,[1]!TOX,15,FALSE)*VLOOKUP(A20,DWInhale,12,FALSE)))</f>
        <v>112.77796652961565</v>
      </c>
    </row>
    <row r="21" spans="1:15" x14ac:dyDescent="0.25">
      <c r="A21" s="510" t="s">
        <v>173</v>
      </c>
      <c r="B21" s="511">
        <f>(VLOOKUP(A21,[1]!TOX,54,FALSE))</f>
        <v>0</v>
      </c>
      <c r="C21" s="512">
        <f>(VLOOKUP(A21,[1]!TOX,57,FALSE))</f>
        <v>9</v>
      </c>
      <c r="D21" s="513">
        <f>IF(C21=0,0,'GW-1 Exp'!$F$58*(18/C21)^0.5)</f>
        <v>4242.6406871192858</v>
      </c>
      <c r="E21" s="514">
        <f>IF(C21=0,0,'GW-1 Exp'!$G$58*(44/C21)^0.5)</f>
        <v>44.22166387140534</v>
      </c>
      <c r="F21" s="514">
        <f>IF(B21*D21=0,0,((1/E21)+(('GW-1 Exp'!$E$58*'GW-1 Exp'!$M$58)/(B21*D21)))^-1)</f>
        <v>0</v>
      </c>
      <c r="G21" s="514">
        <f>F21*(('GW-1 Exp'!$H$58*'GW-1 Exp'!$J$58)/('GW-1 Exp'!$N$58*'GW-1 Exp'!$I$58))^-0.5</f>
        <v>0</v>
      </c>
      <c r="H21" s="514">
        <f>(1-EXP((-1*G21*'GW-1 Exp'!$D$58)/(60*'GW-1 Exp'!$C$58)))</f>
        <v>0</v>
      </c>
      <c r="I21" s="515">
        <f>H21*'GW-1 Exp'!$P$58/'GW-1 Exp'!$Q$58</f>
        <v>0</v>
      </c>
      <c r="J21" s="516">
        <f>(('GW-1 Inhale'!$I21)/('GW-1 Exp'!$R$58))*('GW-1 Exp'!$S$48+(EXP(-1*'GW-1 Exp'!$R$58*'GW-1 Exp'!$T$48)/'GW-1 Exp'!$R$58)-(EXP('GW-1 Exp'!$R$58*('GW-1 Exp'!$S$48-'GW-1 Exp'!$T$48))/'GW-1 Exp'!$R$58))*('GW-1 Exp'!$U$48*'GW-1 Exp'!$V$48*'GW-1 Exp'!$W$48*'GW-1 Exp'!$X$48*'GW-1 Exp'!$AB$58/'GW-1 Exp'!$Y$48)</f>
        <v>0</v>
      </c>
      <c r="K21" s="517">
        <f>(('GW-1 Inhale'!$I21)/('GW-1 Exp'!$R$58))*('GW-1 Exp'!$S$56+(EXP(-1*'GW-1 Exp'!$R$58*'GW-1 Exp'!$T$56)/'GW-1 Exp'!$R$58)-(EXP('GW-1 Exp'!$R$58*('GW-1 Exp'!$S$56-'GW-1 Exp'!$T$56))/'GW-1 Exp'!$R$58))*('GW-1 Exp'!$U$56*'GW-1 Exp'!$V$56*'GW-1 Exp'!$W$56*'GW-1 Exp'!$X$56*'GW-1 Exp'!$AB$58/'GW-1 Exp'!$Y$56)</f>
        <v>0</v>
      </c>
      <c r="L21" s="517">
        <f xml:space="preserve"> IF(VLOOKUP(A21,[1]!TOX,36,FALSE)="M",((((('GW-1 Inhale'!$I21)/('GW-1 Exp'!$R$63))*('GW-1 Exp'!$S$63+(EXP(-1*'GW-1 Exp'!$R$63*'GW-1 Exp'!$T$63)/'GW-1 Exp'!$R$63)-(EXP('GW-1 Exp'!$R$63*('GW-1 Exp'!$S$63-'GW-1 Exp'!$T$63))/'GW-1 Exp'!$R$63))*('GW-1 Exp'!$U$63*'GW-1 Exp'!$V$63*'GW-1 Exp'!$W$63*'GW-1 Exp'!$X$63*'GW-1 Exp'!$AB$63/'GW-1 Exp'!$Y$63)*10))+(((('GW-1 Inhale'!$I21)/('GW-1 Exp'!$R$64))*('GW-1 Exp'!$S$64+(EXP(-1*'GW-1 Exp'!$R$64*'GW-1 Exp'!$T$64)/'GW-1 Exp'!$R$64)-(EXP('GW-1 Exp'!$R$64*('GW-1 Exp'!$S$64-'GW-1 Exp'!$T$64))/'GW-1 Exp'!$R$64))*('GW-1 Exp'!$U$64*'GW-1 Exp'!$V$64*'GW-1 Exp'!$W$64*'GW-1 Exp'!$X$64*'GW-1 Exp'!$AB$64/'GW-1 Exp'!$Y$64))*3)+(((('GW-1 Inhale'!$I21)/('GW-1 Exp'!$R$65))*('GW-1 Exp'!$S$65+(EXP(-1*'GW-1 Exp'!$R$65*'GW-1 Exp'!$T$65)/'GW-1 Exp'!$R$65)-(EXP('GW-1 Exp'!$R$65*('GW-1 Exp'!$S$65-'GW-1 Exp'!$T$65))/'GW-1 Exp'!$R$65))*('GW-1 Exp'!$U$65*'GW-1 Exp'!$V$65*'GW-1 Exp'!$W$65*'GW-1 Exp'!$X$65*'GW-1 Exp'!$AB$65/'GW-1 Exp'!$Y$65))*3)+(((('GW-1 Inhale'!$I21)/('GW-1 Exp'!$R$66))*('GW-1 Exp'!$S$66+(EXP(-1*'GW-1 Exp'!$R$66*'GW-1 Exp'!$T$66)/'GW-1 Exp'!$R$66)-(EXP('GW-1 Exp'!$R$66*('GW-1 Exp'!$S$66-'GW-1 Exp'!$T$66))/'GW-1 Exp'!$R$66))*('GW-1 Exp'!$U$66*'GW-1 Exp'!$V$66*'GW-1 Exp'!$W$66*'GW-1 Exp'!$X$66*'GW-1 Exp'!$AB$66/'GW-1 Exp'!$Y$66))*1)),0)</f>
        <v>0</v>
      </c>
      <c r="M21" s="518">
        <f>IF(OR((VLOOKUP(A21,[1]!TOX,8,FALSE))=0,J21=0),0,'[1]Target Risk'!$D$8*(VLOOKUP(A21,[1]!TOX,8,FALSE))*'GW-1 Exp'!$Z$58/(VLOOKUP(A21,DWInhale,10,FALSE)))</f>
        <v>0</v>
      </c>
      <c r="N21" s="519">
        <f>IF(OR(K21=0,(VLOOKUP(A21,[1]!TOX,15,FALSE))=0),0,IF(VLOOKUP(A21,[1]!TOX,36,FALSE)="M",'[1]Target Risk'!$D$12/((VLOOKUP(A21,[1]!TOX,15,FALSE))*(VLOOKUP(A21,DWInhale,12,FALSE))), '[1]Target Risk'!$D$12/((VLOOKUP(A21,[1]!TOX,15,FALSE))*(VLOOKUP(A21,DWInhale,11,FALSE)))))</f>
        <v>0</v>
      </c>
      <c r="O21" s="520">
        <f>IF(OR(VLOOKUP(A21,[1]!TOX,15,FALSE)=0, NOT(VLOOKUP(A21,[1]!TOX,36,FALSE)="M")),0,'[1]Target Risk'!$D$12/(VLOOKUP(A21,[1]!TOX,15,FALSE)*VLOOKUP(A21,DWInhale,12,FALSE)))</f>
        <v>0</v>
      </c>
    </row>
    <row r="22" spans="1:15" x14ac:dyDescent="0.25">
      <c r="A22" s="510" t="s">
        <v>174</v>
      </c>
      <c r="B22" s="511">
        <f>(VLOOKUP(A22,[1]!TOX,54,FALSE))</f>
        <v>3.0800000000000001E-4</v>
      </c>
      <c r="C22" s="512">
        <f>(VLOOKUP(A22,[1]!TOX,57,FALSE))</f>
        <v>154</v>
      </c>
      <c r="D22" s="513">
        <f>IF(C22=0,0,'GW-1 Exp'!$F$58*(18/C22)^0.5)</f>
        <v>1025.6451881367416</v>
      </c>
      <c r="E22" s="514">
        <f>IF(C22=0,0,'GW-1 Exp'!$G$58*(44/C22)^0.5)</f>
        <v>10.690449676496975</v>
      </c>
      <c r="F22" s="514">
        <f>IF(B22*D22=0,0,((1/E22)+(('GW-1 Exp'!$E$58*'GW-1 Exp'!$M$58)/(B22*D22)))^-1)</f>
        <v>5.8963148191444468</v>
      </c>
      <c r="G22" s="514">
        <f>F22*(('GW-1 Exp'!$H$58*'GW-1 Exp'!$J$58)/('GW-1 Exp'!$N$58*'GW-1 Exp'!$I$58))^-0.5</f>
        <v>7.9647315812201018</v>
      </c>
      <c r="H22" s="514">
        <f>(1-EXP((-1*G22*'GW-1 Exp'!$D$58)/(60*'GW-1 Exp'!$C$58)))</f>
        <v>0.23317069609885899</v>
      </c>
      <c r="I22" s="515">
        <f>H22*'GW-1 Exp'!$P$58/'GW-1 Exp'!$Q$58</f>
        <v>0.38861782683143159</v>
      </c>
      <c r="J22" s="516">
        <f>(('GW-1 Inhale'!$I22)/('GW-1 Exp'!$R$58))*('GW-1 Exp'!$S$48+(EXP(-1*'GW-1 Exp'!$R$58*'GW-1 Exp'!$T$48)/'GW-1 Exp'!$R$58)-(EXP('GW-1 Exp'!$R$58*('GW-1 Exp'!$S$48-'GW-1 Exp'!$T$48))/'GW-1 Exp'!$R$58))*('GW-1 Exp'!$U$48*'GW-1 Exp'!$V$48*'GW-1 Exp'!$W$48*'GW-1 Exp'!$X$48*'GW-1 Exp'!$AB$58/'GW-1 Exp'!$Y$48)</f>
        <v>0.25441712633607361</v>
      </c>
      <c r="K22" s="517">
        <f>(('GW-1 Inhale'!$I22)/('GW-1 Exp'!$R$58))*('GW-1 Exp'!$S$56+(EXP(-1*'GW-1 Exp'!$R$58*'GW-1 Exp'!$T$56)/'GW-1 Exp'!$R$58)-(EXP('GW-1 Exp'!$R$58*('GW-1 Exp'!$S$56-'GW-1 Exp'!$T$56))/'GW-1 Exp'!$R$58))*('GW-1 Exp'!$U$56*'GW-1 Exp'!$V$56*'GW-1 Exp'!$W$56*'GW-1 Exp'!$X$56*'GW-1 Exp'!$AB$58/'GW-1 Exp'!$Y$56)</f>
        <v>0.18692309308257732</v>
      </c>
      <c r="L22" s="517">
        <f xml:space="preserve"> IF(VLOOKUP(A22,[1]!TOX,36,FALSE)="M",((((('GW-1 Inhale'!$I22)/('GW-1 Exp'!$R$63))*('GW-1 Exp'!$S$63+(EXP(-1*'GW-1 Exp'!$R$63*'GW-1 Exp'!$T$63)/'GW-1 Exp'!$R$63)-(EXP('GW-1 Exp'!$R$63*('GW-1 Exp'!$S$63-'GW-1 Exp'!$T$63))/'GW-1 Exp'!$R$63))*('GW-1 Exp'!$U$63*'GW-1 Exp'!$V$63*'GW-1 Exp'!$W$63*'GW-1 Exp'!$X$63*'GW-1 Exp'!$AB$63/'GW-1 Exp'!$Y$63)*10))+(((('GW-1 Inhale'!$I22)/('GW-1 Exp'!$R$64))*('GW-1 Exp'!$S$64+(EXP(-1*'GW-1 Exp'!$R$64*'GW-1 Exp'!$T$64)/'GW-1 Exp'!$R$64)-(EXP('GW-1 Exp'!$R$64*('GW-1 Exp'!$S$64-'GW-1 Exp'!$T$64))/'GW-1 Exp'!$R$64))*('GW-1 Exp'!$U$64*'GW-1 Exp'!$V$64*'GW-1 Exp'!$W$64*'GW-1 Exp'!$X$64*'GW-1 Exp'!$AB$64/'GW-1 Exp'!$Y$64))*3)+(((('GW-1 Inhale'!$I22)/('GW-1 Exp'!$R$65))*('GW-1 Exp'!$S$65+(EXP(-1*'GW-1 Exp'!$R$65*'GW-1 Exp'!$T$65)/'GW-1 Exp'!$R$65)-(EXP('GW-1 Exp'!$R$65*('GW-1 Exp'!$S$65-'GW-1 Exp'!$T$65))/'GW-1 Exp'!$R$65))*('GW-1 Exp'!$U$65*'GW-1 Exp'!$V$65*'GW-1 Exp'!$W$65*'GW-1 Exp'!$X$65*'GW-1 Exp'!$AB$65/'GW-1 Exp'!$Y$65))*3)+(((('GW-1 Inhale'!$I22)/('GW-1 Exp'!$R$66))*('GW-1 Exp'!$S$66+(EXP(-1*'GW-1 Exp'!$R$66*'GW-1 Exp'!$T$66)/'GW-1 Exp'!$R$66)-(EXP('GW-1 Exp'!$R$66*('GW-1 Exp'!$S$66-'GW-1 Exp'!$T$66))/'GW-1 Exp'!$R$66))*('GW-1 Exp'!$U$66*'GW-1 Exp'!$V$66*'GW-1 Exp'!$W$66*'GW-1 Exp'!$X$66*'GW-1 Exp'!$AB$66/'GW-1 Exp'!$Y$66))*1)),0)</f>
        <v>0</v>
      </c>
      <c r="M22" s="518">
        <f>IF(OR((VLOOKUP(A22,[1]!TOX,8,FALSE))=0,J22=0),0,'[1]Target Risk'!$D$8*(VLOOKUP(A22,[1]!TOX,8,FALSE))*'GW-1 Exp'!$Z$58/(VLOOKUP(A22,DWInhale,10,FALSE)))</f>
        <v>1.572221201302376</v>
      </c>
      <c r="N22" s="519">
        <f>IF(OR(K22=0,(VLOOKUP(A22,[1]!TOX,15,FALSE))=0),0,IF(VLOOKUP(A22,[1]!TOX,36,FALSE)="M",'[1]Target Risk'!$D$12/((VLOOKUP(A22,[1]!TOX,15,FALSE))*(VLOOKUP(A22,DWInhale,12,FALSE))), '[1]Target Risk'!$D$12/((VLOOKUP(A22,[1]!TOX,15,FALSE))*(VLOOKUP(A22,DWInhale,11,FALSE)))))</f>
        <v>0</v>
      </c>
      <c r="O22" s="520">
        <f>IF(OR(VLOOKUP(A22,[1]!TOX,15,FALSE)=0, NOT(VLOOKUP(A22,[1]!TOX,36,FALSE)="M")),0,'[1]Target Risk'!$D$12/(VLOOKUP(A22,[1]!TOX,15,FALSE)*VLOOKUP(A22,DWInhale,12,FALSE)))</f>
        <v>0</v>
      </c>
    </row>
    <row r="23" spans="1:15" x14ac:dyDescent="0.25">
      <c r="A23" s="510" t="s">
        <v>175</v>
      </c>
      <c r="B23" s="511">
        <f>(VLOOKUP(A23,[1]!TOX,54,FALSE))</f>
        <v>1.7E-5</v>
      </c>
      <c r="C23" s="512">
        <f>(VLOOKUP(A23,[1]!TOX,57,FALSE))</f>
        <v>143</v>
      </c>
      <c r="D23" s="513">
        <f>IF(C23=0,0,'GW-1 Exp'!$F$58*(18/C23)^0.5)</f>
        <v>1064.3623127803489</v>
      </c>
      <c r="E23" s="514">
        <f>IF(C23=0,0,'GW-1 Exp'!$G$58*(44/C23)^0.5)</f>
        <v>11.094003924504584</v>
      </c>
      <c r="F23" s="514">
        <f>IF(B23*D23=0,0,((1/E23)+(('GW-1 Exp'!$E$58*'GW-1 Exp'!$M$58)/(B23*D23)))^-1)</f>
        <v>0.70523325241329193</v>
      </c>
      <c r="G23" s="514">
        <f>F23*(('GW-1 Exp'!$H$58*'GW-1 Exp'!$J$58)/('GW-1 Exp'!$N$58*'GW-1 Exp'!$I$58))^-0.5</f>
        <v>0.95262782431242998</v>
      </c>
      <c r="H23" s="514">
        <f>(1-EXP((-1*G23*'GW-1 Exp'!$D$58)/(60*'GW-1 Exp'!$C$58)))</f>
        <v>3.1255388652852045E-2</v>
      </c>
      <c r="I23" s="515">
        <f>H23*'GW-1 Exp'!$P$58/'GW-1 Exp'!$Q$58</f>
        <v>5.2092314421420073E-2</v>
      </c>
      <c r="J23" s="516">
        <f>(('GW-1 Inhale'!$I23)/('GW-1 Exp'!$R$58))*('GW-1 Exp'!$S$48+(EXP(-1*'GW-1 Exp'!$R$58*'GW-1 Exp'!$T$48)/'GW-1 Exp'!$R$58)-(EXP('GW-1 Exp'!$R$58*('GW-1 Exp'!$S$48-'GW-1 Exp'!$T$48))/'GW-1 Exp'!$R$58))*('GW-1 Exp'!$U$48*'GW-1 Exp'!$V$48*'GW-1 Exp'!$W$48*'GW-1 Exp'!$X$48*'GW-1 Exp'!$AB$58/'GW-1 Exp'!$Y$48)</f>
        <v>3.4103368461894185E-2</v>
      </c>
      <c r="K23" s="517">
        <f>(('GW-1 Inhale'!$I23)/('GW-1 Exp'!$R$58))*('GW-1 Exp'!$S$56+(EXP(-1*'GW-1 Exp'!$R$58*'GW-1 Exp'!$T$56)/'GW-1 Exp'!$R$58)-(EXP('GW-1 Exp'!$R$58*('GW-1 Exp'!$S$56-'GW-1 Exp'!$T$56))/'GW-1 Exp'!$R$58))*('GW-1 Exp'!$U$56*'GW-1 Exp'!$V$56*'GW-1 Exp'!$W$56*'GW-1 Exp'!$X$56*'GW-1 Exp'!$AB$58/'GW-1 Exp'!$Y$56)</f>
        <v>2.5056124205299672E-2</v>
      </c>
      <c r="L23" s="517">
        <f xml:space="preserve"> IF(VLOOKUP(A23,[1]!TOX,36,FALSE)="M",((((('GW-1 Inhale'!$I23)/('GW-1 Exp'!$R$63))*('GW-1 Exp'!$S$63+(EXP(-1*'GW-1 Exp'!$R$63*'GW-1 Exp'!$T$63)/'GW-1 Exp'!$R$63)-(EXP('GW-1 Exp'!$R$63*('GW-1 Exp'!$S$63-'GW-1 Exp'!$T$63))/'GW-1 Exp'!$R$63))*('GW-1 Exp'!$U$63*'GW-1 Exp'!$V$63*'GW-1 Exp'!$W$63*'GW-1 Exp'!$X$63*'GW-1 Exp'!$AB$63/'GW-1 Exp'!$Y$63)*10))+(((('GW-1 Inhale'!$I23)/('GW-1 Exp'!$R$64))*('GW-1 Exp'!$S$64+(EXP(-1*'GW-1 Exp'!$R$64*'GW-1 Exp'!$T$64)/'GW-1 Exp'!$R$64)-(EXP('GW-1 Exp'!$R$64*('GW-1 Exp'!$S$64-'GW-1 Exp'!$T$64))/'GW-1 Exp'!$R$64))*('GW-1 Exp'!$U$64*'GW-1 Exp'!$V$64*'GW-1 Exp'!$W$64*'GW-1 Exp'!$X$64*'GW-1 Exp'!$AB$64/'GW-1 Exp'!$Y$64))*3)+(((('GW-1 Inhale'!$I23)/('GW-1 Exp'!$R$65))*('GW-1 Exp'!$S$65+(EXP(-1*'GW-1 Exp'!$R$65*'GW-1 Exp'!$T$65)/'GW-1 Exp'!$R$65)-(EXP('GW-1 Exp'!$R$65*('GW-1 Exp'!$S$65-'GW-1 Exp'!$T$65))/'GW-1 Exp'!$R$65))*('GW-1 Exp'!$U$65*'GW-1 Exp'!$V$65*'GW-1 Exp'!$W$65*'GW-1 Exp'!$X$65*'GW-1 Exp'!$AB$65/'GW-1 Exp'!$Y$65))*3)+(((('GW-1 Inhale'!$I23)/('GW-1 Exp'!$R$66))*('GW-1 Exp'!$S$66+(EXP(-1*'GW-1 Exp'!$R$66*'GW-1 Exp'!$T$66)/'GW-1 Exp'!$R$66)-(EXP('GW-1 Exp'!$R$66*('GW-1 Exp'!$S$66-'GW-1 Exp'!$T$66))/'GW-1 Exp'!$R$66))*('GW-1 Exp'!$U$66*'GW-1 Exp'!$V$66*'GW-1 Exp'!$W$66*'GW-1 Exp'!$X$66*'GW-1 Exp'!$AB$66/'GW-1 Exp'!$Y$66))*1)),0)</f>
        <v>0</v>
      </c>
      <c r="M23" s="518">
        <f>IF(OR((VLOOKUP(A23,[1]!TOX,8,FALSE))=0,J23=0),0,'[1]Target Risk'!$D$8*(VLOOKUP(A23,[1]!TOX,8,FALSE))*'GW-1 Exp'!$Z$58/(VLOOKUP(A23,DWInhale,10,FALSE)))</f>
        <v>0</v>
      </c>
      <c r="N23" s="519">
        <f>IF(OR(K23=0,(VLOOKUP(A23,[1]!TOX,15,FALSE))=0),0,IF(VLOOKUP(A23,[1]!TOX,36,FALSE)="M",'[1]Target Risk'!$D$12/((VLOOKUP(A23,[1]!TOX,15,FALSE))*(VLOOKUP(A23,DWInhale,12,FALSE))), '[1]Target Risk'!$D$12/((VLOOKUP(A23,[1]!TOX,15,FALSE))*(VLOOKUP(A23,DWInhale,11,FALSE)))))</f>
        <v>0.12094061337954594</v>
      </c>
      <c r="O23" s="520">
        <f>IF(OR(VLOOKUP(A23,[1]!TOX,15,FALSE)=0, NOT(VLOOKUP(A23,[1]!TOX,36,FALSE)="M")),0,'[1]Target Risk'!$D$12/(VLOOKUP(A23,[1]!TOX,15,FALSE)*VLOOKUP(A23,DWInhale,12,FALSE)))</f>
        <v>0</v>
      </c>
    </row>
    <row r="24" spans="1:15" x14ac:dyDescent="0.25">
      <c r="A24" s="510" t="s">
        <v>176</v>
      </c>
      <c r="B24" s="511">
        <f>(VLOOKUP(A24,[1]!TOX,54,FALSE))</f>
        <v>3.3199999999999999E-4</v>
      </c>
      <c r="C24" s="512">
        <f>(VLOOKUP(A24,[1]!TOX,57,FALSE))</f>
        <v>171</v>
      </c>
      <c r="D24" s="513">
        <f>IF(C24=0,0,'GW-1 Exp'!$F$58*(18/C24)^0.5)</f>
        <v>973.32852678457527</v>
      </c>
      <c r="E24" s="514">
        <f>IF(C24=0,0,'GW-1 Exp'!$G$58*(44/C24)^0.5)</f>
        <v>10.145145470035761</v>
      </c>
      <c r="F24" s="514">
        <f>IF(B24*D24=0,0,((1/E24)+(('GW-1 Exp'!$E$58*'GW-1 Exp'!$M$58)/(B24*D24)))^-1)</f>
        <v>5.7830271185501196</v>
      </c>
      <c r="G24" s="514">
        <f>F24*(('GW-1 Exp'!$H$58*'GW-1 Exp'!$J$58)/('GW-1 Exp'!$N$58*'GW-1 Exp'!$I$58))^-0.5</f>
        <v>7.8117027565451043</v>
      </c>
      <c r="H24" s="514">
        <f>(1-EXP((-1*G24*'GW-1 Exp'!$D$58)/(60*'GW-1 Exp'!$C$58)))</f>
        <v>0.22924913650436685</v>
      </c>
      <c r="I24" s="515">
        <f>H24*'GW-1 Exp'!$P$58/'GW-1 Exp'!$Q$58</f>
        <v>0.38208189417394472</v>
      </c>
      <c r="J24" s="516">
        <f>(('GW-1 Inhale'!$I24)/('GW-1 Exp'!$R$58))*('GW-1 Exp'!$S$48+(EXP(-1*'GW-1 Exp'!$R$58*'GW-1 Exp'!$T$48)/'GW-1 Exp'!$R$58)-(EXP('GW-1 Exp'!$R$58*('GW-1 Exp'!$S$48-'GW-1 Exp'!$T$48))/'GW-1 Exp'!$R$58))*('GW-1 Exp'!$U$48*'GW-1 Exp'!$V$48*'GW-1 Exp'!$W$48*'GW-1 Exp'!$X$48*'GW-1 Exp'!$AB$58/'GW-1 Exp'!$Y$48)</f>
        <v>0.25013823563720405</v>
      </c>
      <c r="K24" s="517">
        <f>(('GW-1 Inhale'!$I24)/('GW-1 Exp'!$R$58))*('GW-1 Exp'!$S$56+(EXP(-1*'GW-1 Exp'!$R$58*'GW-1 Exp'!$T$56)/'GW-1 Exp'!$R$58)-(EXP('GW-1 Exp'!$R$58*('GW-1 Exp'!$S$56-'GW-1 Exp'!$T$56))/'GW-1 Exp'!$R$58))*('GW-1 Exp'!$U$56*'GW-1 Exp'!$V$56*'GW-1 Exp'!$W$56*'GW-1 Exp'!$X$56*'GW-1 Exp'!$AB$58/'GW-1 Exp'!$Y$56)</f>
        <v>0.18377934448391403</v>
      </c>
      <c r="L24" s="517">
        <f xml:space="preserve"> IF(VLOOKUP(A24,[1]!TOX,36,FALSE)="M",((((('GW-1 Inhale'!$I24)/('GW-1 Exp'!$R$63))*('GW-1 Exp'!$S$63+(EXP(-1*'GW-1 Exp'!$R$63*'GW-1 Exp'!$T$63)/'GW-1 Exp'!$R$63)-(EXP('GW-1 Exp'!$R$63*('GW-1 Exp'!$S$63-'GW-1 Exp'!$T$63))/'GW-1 Exp'!$R$63))*('GW-1 Exp'!$U$63*'GW-1 Exp'!$V$63*'GW-1 Exp'!$W$63*'GW-1 Exp'!$X$63*'GW-1 Exp'!$AB$63/'GW-1 Exp'!$Y$63)*10))+(((('GW-1 Inhale'!$I24)/('GW-1 Exp'!$R$64))*('GW-1 Exp'!$S$64+(EXP(-1*'GW-1 Exp'!$R$64*'GW-1 Exp'!$T$64)/'GW-1 Exp'!$R$64)-(EXP('GW-1 Exp'!$R$64*('GW-1 Exp'!$S$64-'GW-1 Exp'!$T$64))/'GW-1 Exp'!$R$64))*('GW-1 Exp'!$U$64*'GW-1 Exp'!$V$64*'GW-1 Exp'!$W$64*'GW-1 Exp'!$X$64*'GW-1 Exp'!$AB$64/'GW-1 Exp'!$Y$64))*3)+(((('GW-1 Inhale'!$I24)/('GW-1 Exp'!$R$65))*('GW-1 Exp'!$S$65+(EXP(-1*'GW-1 Exp'!$R$65*'GW-1 Exp'!$T$65)/'GW-1 Exp'!$R$65)-(EXP('GW-1 Exp'!$R$65*('GW-1 Exp'!$S$65-'GW-1 Exp'!$T$65))/'GW-1 Exp'!$R$65))*('GW-1 Exp'!$U$65*'GW-1 Exp'!$V$65*'GW-1 Exp'!$W$65*'GW-1 Exp'!$X$65*'GW-1 Exp'!$AB$65/'GW-1 Exp'!$Y$65))*3)+(((('GW-1 Inhale'!$I24)/('GW-1 Exp'!$R$66))*('GW-1 Exp'!$S$66+(EXP(-1*'GW-1 Exp'!$R$66*'GW-1 Exp'!$T$66)/'GW-1 Exp'!$R$66)-(EXP('GW-1 Exp'!$R$66*('GW-1 Exp'!$S$66-'GW-1 Exp'!$T$66))/'GW-1 Exp'!$R$66))*('GW-1 Exp'!$U$66*'GW-1 Exp'!$V$66*'GW-1 Exp'!$W$66*'GW-1 Exp'!$X$66*'GW-1 Exp'!$AB$66/'GW-1 Exp'!$Y$66))*1)),0)</f>
        <v>0</v>
      </c>
      <c r="M24" s="518">
        <f>IF(OR((VLOOKUP(A24,[1]!TOX,8,FALSE))=0,J24=0),0,'[1]Target Risk'!$D$8*(VLOOKUP(A24,[1]!TOX,8,FALSE))*'GW-1 Exp'!$Z$58/(VLOOKUP(A24,DWInhale,10,FALSE)))</f>
        <v>111.93810465910016</v>
      </c>
      <c r="N24" s="519">
        <f>IF(OR(K24=0,(VLOOKUP(A24,[1]!TOX,15,FALSE))=0),0,IF(VLOOKUP(A24,[1]!TOX,36,FALSE)="M",'[1]Target Risk'!$D$12/((VLOOKUP(A24,[1]!TOX,15,FALSE))*(VLOOKUP(A24,DWInhale,12,FALSE))), '[1]Target Risk'!$D$12/((VLOOKUP(A24,[1]!TOX,15,FALSE))*(VLOOKUP(A24,DWInhale,11,FALSE)))))</f>
        <v>0.54413079054568536</v>
      </c>
      <c r="O24" s="520">
        <f>IF(OR(VLOOKUP(A24,[1]!TOX,15,FALSE)=0, NOT(VLOOKUP(A24,[1]!TOX,36,FALSE)="M")),0,'[1]Target Risk'!$D$12/(VLOOKUP(A24,[1]!TOX,15,FALSE)*VLOOKUP(A24,DWInhale,12,FALSE)))</f>
        <v>0</v>
      </c>
    </row>
    <row r="25" spans="1:15" x14ac:dyDescent="0.25">
      <c r="A25" s="510" t="s">
        <v>177</v>
      </c>
      <c r="B25" s="511">
        <f>(VLOOKUP(A25,[1]!TOX,54,FALSE))</f>
        <v>2.7000000000000001E-7</v>
      </c>
      <c r="C25" s="512">
        <f>(VLOOKUP(A25,[1]!TOX,57,FALSE))</f>
        <v>391</v>
      </c>
      <c r="D25" s="513">
        <f>IF(C25=0,0,'GW-1 Exp'!$F$58*(18/C25)^0.5)</f>
        <v>643.67868586693635</v>
      </c>
      <c r="E25" s="514">
        <f>IF(C25=0,0,'GW-1 Exp'!$G$58*(44/C25)^0.5)</f>
        <v>6.7091570054504732</v>
      </c>
      <c r="F25" s="514">
        <f>IF(B25*D25=0,0,((1/E25)+(('GW-1 Exp'!$E$58*'GW-1 Exp'!$M$58)/(B25*D25)))^-1)</f>
        <v>7.225758343302662E-3</v>
      </c>
      <c r="G25" s="514">
        <f>F25*(('GW-1 Exp'!$H$58*'GW-1 Exp'!$J$58)/('GW-1 Exp'!$N$58*'GW-1 Exp'!$I$58))^-0.5</f>
        <v>9.7605415315184969E-3</v>
      </c>
      <c r="H25" s="514">
        <f>(1-EXP((-1*G25*'GW-1 Exp'!$D$58)/(60*'GW-1 Exp'!$C$58)))</f>
        <v>3.2529846336171175E-4</v>
      </c>
      <c r="I25" s="515">
        <f>H25*'GW-1 Exp'!$P$58/'GW-1 Exp'!$Q$58</f>
        <v>5.4216410560285289E-4</v>
      </c>
      <c r="J25" s="516">
        <f>(('GW-1 Inhale'!$I25)/('GW-1 Exp'!$R$58))*('GW-1 Exp'!$S$48+(EXP(-1*'GW-1 Exp'!$R$58*'GW-1 Exp'!$T$48)/'GW-1 Exp'!$R$58)-(EXP('GW-1 Exp'!$R$58*('GW-1 Exp'!$S$48-'GW-1 Exp'!$T$48))/'GW-1 Exp'!$R$58))*('GW-1 Exp'!$U$48*'GW-1 Exp'!$V$48*'GW-1 Exp'!$W$48*'GW-1 Exp'!$X$48*'GW-1 Exp'!$AB$58/'GW-1 Exp'!$Y$48)</f>
        <v>3.5493954272426356E-4</v>
      </c>
      <c r="K25" s="517">
        <f>(('GW-1 Inhale'!$I25)/('GW-1 Exp'!$R$58))*('GW-1 Exp'!$S$56+(EXP(-1*'GW-1 Exp'!$R$58*'GW-1 Exp'!$T$56)/'GW-1 Exp'!$R$58)-(EXP('GW-1 Exp'!$R$58*('GW-1 Exp'!$S$56-'GW-1 Exp'!$T$56))/'GW-1 Exp'!$R$58))*('GW-1 Exp'!$U$56*'GW-1 Exp'!$V$56*'GW-1 Exp'!$W$56*'GW-1 Exp'!$X$56*'GW-1 Exp'!$AB$58/'GW-1 Exp'!$Y$56)</f>
        <v>2.6077803070416862E-4</v>
      </c>
      <c r="L25" s="517">
        <f xml:space="preserve"> IF(VLOOKUP(A25,[1]!TOX,36,FALSE)="M",((((('GW-1 Inhale'!$I25)/('GW-1 Exp'!$R$63))*('GW-1 Exp'!$S$63+(EXP(-1*'GW-1 Exp'!$R$63*'GW-1 Exp'!$T$63)/'GW-1 Exp'!$R$63)-(EXP('GW-1 Exp'!$R$63*('GW-1 Exp'!$S$63-'GW-1 Exp'!$T$63))/'GW-1 Exp'!$R$63))*('GW-1 Exp'!$U$63*'GW-1 Exp'!$V$63*'GW-1 Exp'!$W$63*'GW-1 Exp'!$X$63*'GW-1 Exp'!$AB$63/'GW-1 Exp'!$Y$63)*10))+(((('GW-1 Inhale'!$I25)/('GW-1 Exp'!$R$64))*('GW-1 Exp'!$S$64+(EXP(-1*'GW-1 Exp'!$R$64*'GW-1 Exp'!$T$64)/'GW-1 Exp'!$R$64)-(EXP('GW-1 Exp'!$R$64*('GW-1 Exp'!$S$64-'GW-1 Exp'!$T$64))/'GW-1 Exp'!$R$64))*('GW-1 Exp'!$U$64*'GW-1 Exp'!$V$64*'GW-1 Exp'!$W$64*'GW-1 Exp'!$X$64*'GW-1 Exp'!$AB$64/'GW-1 Exp'!$Y$64))*3)+(((('GW-1 Inhale'!$I25)/('GW-1 Exp'!$R$65))*('GW-1 Exp'!$S$65+(EXP(-1*'GW-1 Exp'!$R$65*'GW-1 Exp'!$T$65)/'GW-1 Exp'!$R$65)-(EXP('GW-1 Exp'!$R$65*('GW-1 Exp'!$S$65-'GW-1 Exp'!$T$65))/'GW-1 Exp'!$R$65))*('GW-1 Exp'!$U$65*'GW-1 Exp'!$V$65*'GW-1 Exp'!$W$65*'GW-1 Exp'!$X$65*'GW-1 Exp'!$AB$65/'GW-1 Exp'!$Y$65))*3)+(((('GW-1 Inhale'!$I25)/('GW-1 Exp'!$R$66))*('GW-1 Exp'!$S$66+(EXP(-1*'GW-1 Exp'!$R$66*'GW-1 Exp'!$T$66)/'GW-1 Exp'!$R$66)-(EXP('GW-1 Exp'!$R$66*('GW-1 Exp'!$S$66-'GW-1 Exp'!$T$66))/'GW-1 Exp'!$R$66))*('GW-1 Exp'!$U$66*'GW-1 Exp'!$V$66*'GW-1 Exp'!$W$66*'GW-1 Exp'!$X$66*'GW-1 Exp'!$AB$66/'GW-1 Exp'!$Y$66))*1)),0)</f>
        <v>0</v>
      </c>
      <c r="M25" s="518">
        <f>IF(OR((VLOOKUP(A25,[1]!TOX,8,FALSE))=0,J25=0),0,'[1]Target Risk'!$D$8*(VLOOKUP(A25,[1]!TOX,8,FALSE))*'GW-1 Exp'!$Z$58/(VLOOKUP(A25,DWInhale,10,FALSE)))</f>
        <v>3944.3337004792297</v>
      </c>
      <c r="N25" s="519">
        <f>IF(OR(K25=0,(VLOOKUP(A25,[1]!TOX,15,FALSE))=0),0,IF(VLOOKUP(A25,[1]!TOX,36,FALSE)="M",'[1]Target Risk'!$D$12/((VLOOKUP(A25,[1]!TOX,15,FALSE))*(VLOOKUP(A25,DWInhale,12,FALSE))), '[1]Target Risk'!$D$12/((VLOOKUP(A25,[1]!TOX,15,FALSE))*(VLOOKUP(A25,DWInhale,11,FALSE)))))</f>
        <v>2949.7529648247041</v>
      </c>
      <c r="O25" s="520">
        <f>IF(OR(VLOOKUP(A25,[1]!TOX,15,FALSE)=0, NOT(VLOOKUP(A25,[1]!TOX,36,FALSE)="M")),0,'[1]Target Risk'!$D$12/(VLOOKUP(A25,[1]!TOX,15,FALSE)*VLOOKUP(A25,DWInhale,12,FALSE)))</f>
        <v>0</v>
      </c>
    </row>
    <row r="26" spans="1:15" x14ac:dyDescent="0.25">
      <c r="A26" s="510" t="s">
        <v>178</v>
      </c>
      <c r="B26" s="511">
        <f>(VLOOKUP(A26,[1]!TOX,54,FALSE))</f>
        <v>2.1199999999999999E-3</v>
      </c>
      <c r="C26" s="512">
        <f>(VLOOKUP(A26,[1]!TOX,57,FALSE))</f>
        <v>164</v>
      </c>
      <c r="D26" s="513">
        <f>IF(C26=0,0,'GW-1 Exp'!$F$58*(18/C26)^0.5)</f>
        <v>993.88373467361885</v>
      </c>
      <c r="E26" s="514">
        <f>IF(C26=0,0,'GW-1 Exp'!$G$58*(44/C26)^0.5)</f>
        <v>10.359395405656244</v>
      </c>
      <c r="F26" s="514">
        <f>IF(B26*D26=0,0,((1/E26)+(('GW-1 Exp'!$E$58*'GW-1 Exp'!$M$58)/(B26*D26)))^-1)</f>
        <v>9.2649648393227277</v>
      </c>
      <c r="G26" s="514">
        <f>F26*(('GW-1 Exp'!$H$58*'GW-1 Exp'!$J$58)/('GW-1 Exp'!$N$58*'GW-1 Exp'!$I$58))^-0.5</f>
        <v>12.515098043112102</v>
      </c>
      <c r="H26" s="514">
        <f>(1-EXP((-1*G26*'GW-1 Exp'!$D$58)/(60*'GW-1 Exp'!$C$58)))</f>
        <v>0.34109106110959431</v>
      </c>
      <c r="I26" s="515">
        <f>H26*'GW-1 Exp'!$P$58/'GW-1 Exp'!$Q$58</f>
        <v>0.56848510184932388</v>
      </c>
      <c r="J26" s="516">
        <f>(('GW-1 Inhale'!$I26)/('GW-1 Exp'!$R$58))*('GW-1 Exp'!$S$48+(EXP(-1*'GW-1 Exp'!$R$58*'GW-1 Exp'!$T$48)/'GW-1 Exp'!$R$58)-(EXP('GW-1 Exp'!$R$58*('GW-1 Exp'!$S$48-'GW-1 Exp'!$T$48))/'GW-1 Exp'!$R$58))*('GW-1 Exp'!$U$48*'GW-1 Exp'!$V$48*'GW-1 Exp'!$W$48*'GW-1 Exp'!$X$48*'GW-1 Exp'!$AB$58/'GW-1 Exp'!$Y$48)</f>
        <v>0.37217115631731279</v>
      </c>
      <c r="K26" s="517">
        <f>(('GW-1 Inhale'!$I26)/('GW-1 Exp'!$R$58))*('GW-1 Exp'!$S$56+(EXP(-1*'GW-1 Exp'!$R$58*'GW-1 Exp'!$T$56)/'GW-1 Exp'!$R$58)-(EXP('GW-1 Exp'!$R$58*('GW-1 Exp'!$S$56-'GW-1 Exp'!$T$56))/'GW-1 Exp'!$R$58))*('GW-1 Exp'!$U$56*'GW-1 Exp'!$V$56*'GW-1 Exp'!$W$56*'GW-1 Exp'!$X$56*'GW-1 Exp'!$AB$58/'GW-1 Exp'!$Y$56)</f>
        <v>0.27343828891084987</v>
      </c>
      <c r="L26" s="517">
        <f xml:space="preserve"> IF(VLOOKUP(A26,[1]!TOX,36,FALSE)="M",((((('GW-1 Inhale'!$I26)/('GW-1 Exp'!$R$63))*('GW-1 Exp'!$S$63+(EXP(-1*'GW-1 Exp'!$R$63*'GW-1 Exp'!$T$63)/'GW-1 Exp'!$R$63)-(EXP('GW-1 Exp'!$R$63*('GW-1 Exp'!$S$63-'GW-1 Exp'!$T$63))/'GW-1 Exp'!$R$63))*('GW-1 Exp'!$U$63*'GW-1 Exp'!$V$63*'GW-1 Exp'!$W$63*'GW-1 Exp'!$X$63*'GW-1 Exp'!$AB$63/'GW-1 Exp'!$Y$63)*10))+(((('GW-1 Inhale'!$I26)/('GW-1 Exp'!$R$64))*('GW-1 Exp'!$S$64+(EXP(-1*'GW-1 Exp'!$R$64*'GW-1 Exp'!$T$64)/'GW-1 Exp'!$R$64)-(EXP('GW-1 Exp'!$R$64*('GW-1 Exp'!$S$64-'GW-1 Exp'!$T$64))/'GW-1 Exp'!$R$64))*('GW-1 Exp'!$U$64*'GW-1 Exp'!$V$64*'GW-1 Exp'!$W$64*'GW-1 Exp'!$X$64*'GW-1 Exp'!$AB$64/'GW-1 Exp'!$Y$64))*3)+(((('GW-1 Inhale'!$I26)/('GW-1 Exp'!$R$65))*('GW-1 Exp'!$S$65+(EXP(-1*'GW-1 Exp'!$R$65*'GW-1 Exp'!$T$65)/'GW-1 Exp'!$R$65)-(EXP('GW-1 Exp'!$R$65*('GW-1 Exp'!$S$65-'GW-1 Exp'!$T$65))/'GW-1 Exp'!$R$65))*('GW-1 Exp'!$U$65*'GW-1 Exp'!$V$65*'GW-1 Exp'!$W$65*'GW-1 Exp'!$X$65*'GW-1 Exp'!$AB$65/'GW-1 Exp'!$Y$65))*3)+(((('GW-1 Inhale'!$I26)/('GW-1 Exp'!$R$66))*('GW-1 Exp'!$S$66+(EXP(-1*'GW-1 Exp'!$R$66*'GW-1 Exp'!$T$66)/'GW-1 Exp'!$R$66)-(EXP('GW-1 Exp'!$R$66*('GW-1 Exp'!$S$66-'GW-1 Exp'!$T$66))/'GW-1 Exp'!$R$66))*('GW-1 Exp'!$U$66*'GW-1 Exp'!$V$66*'GW-1 Exp'!$W$66*'GW-1 Exp'!$X$66*'GW-1 Exp'!$AB$66/'GW-1 Exp'!$Y$66))*1)),0)</f>
        <v>0</v>
      </c>
      <c r="M26" s="518">
        <f>IF(OR((VLOOKUP(A26,[1]!TOX,8,FALSE))=0,J26=0),0,'[1]Target Risk'!$D$8*(VLOOKUP(A26,[1]!TOX,8,FALSE))*'GW-1 Exp'!$Z$58/(VLOOKUP(A26,DWInhale,10,FALSE)))</f>
        <v>5.3738715804585402</v>
      </c>
      <c r="N26" s="519">
        <f>IF(OR(K26=0,(VLOOKUP(A26,[1]!TOX,15,FALSE))=0),0,IF(VLOOKUP(A26,[1]!TOX,36,FALSE)="M",'[1]Target Risk'!$D$12/((VLOOKUP(A26,[1]!TOX,15,FALSE))*(VLOOKUP(A26,DWInhale,12,FALSE))), '[1]Target Risk'!$D$12/((VLOOKUP(A26,[1]!TOX,15,FALSE))*(VLOOKUP(A26,DWInhale,11,FALSE)))))</f>
        <v>0.206451017259075</v>
      </c>
      <c r="O26" s="520">
        <f>IF(OR(VLOOKUP(A26,[1]!TOX,15,FALSE)=0, NOT(VLOOKUP(A26,[1]!TOX,36,FALSE)="M")),0,'[1]Target Risk'!$D$12/(VLOOKUP(A26,[1]!TOX,15,FALSE)*VLOOKUP(A26,DWInhale,12,FALSE)))</f>
        <v>0</v>
      </c>
    </row>
    <row r="27" spans="1:15" x14ac:dyDescent="0.25">
      <c r="A27" s="510" t="s">
        <v>179</v>
      </c>
      <c r="B27" s="511">
        <f>(VLOOKUP(A27,[1]!TOX,54,FALSE))</f>
        <v>5.3499999999999999E-4</v>
      </c>
      <c r="C27" s="512">
        <f>(VLOOKUP(A27,[1]!TOX,57,FALSE))</f>
        <v>253</v>
      </c>
      <c r="D27" s="513">
        <f>IF(C27=0,0,'GW-1 Exp'!$F$58*(18/C27)^0.5)</f>
        <v>800.19760405389684</v>
      </c>
      <c r="E27" s="514">
        <f>IF(C27=0,0,'GW-1 Exp'!$G$58*(44/C27)^0.5)</f>
        <v>8.3405765622829904</v>
      </c>
      <c r="F27" s="514">
        <f>IF(B27*D27=0,0,((1/E27)+(('GW-1 Exp'!$E$58*'GW-1 Exp'!$M$58)/(B27*D27)))^-1)</f>
        <v>5.6812552285244919</v>
      </c>
      <c r="G27" s="514">
        <f>F27*(('GW-1 Exp'!$H$58*'GW-1 Exp'!$J$58)/('GW-1 Exp'!$N$58*'GW-1 Exp'!$I$58))^-0.5</f>
        <v>7.6742294683251933</v>
      </c>
      <c r="H27" s="514">
        <f>(1-EXP((-1*G27*'GW-1 Exp'!$D$58)/(60*'GW-1 Exp'!$C$58)))</f>
        <v>0.22570910986056458</v>
      </c>
      <c r="I27" s="515">
        <f>H27*'GW-1 Exp'!$P$58/'GW-1 Exp'!$Q$58</f>
        <v>0.37618184976760766</v>
      </c>
      <c r="J27" s="516">
        <f>(('GW-1 Inhale'!$I27)/('GW-1 Exp'!$R$58))*('GW-1 Exp'!$S$48+(EXP(-1*'GW-1 Exp'!$R$58*'GW-1 Exp'!$T$48)/'GW-1 Exp'!$R$58)-(EXP('GW-1 Exp'!$R$58*('GW-1 Exp'!$S$48-'GW-1 Exp'!$T$48))/'GW-1 Exp'!$R$58))*('GW-1 Exp'!$U$48*'GW-1 Exp'!$V$48*'GW-1 Exp'!$W$48*'GW-1 Exp'!$X$48*'GW-1 Exp'!$AB$58/'GW-1 Exp'!$Y$48)</f>
        <v>0.24627564303471236</v>
      </c>
      <c r="K27" s="517">
        <f>(('GW-1 Inhale'!$I27)/('GW-1 Exp'!$R$58))*('GW-1 Exp'!$S$56+(EXP(-1*'GW-1 Exp'!$R$58*'GW-1 Exp'!$T$56)/'GW-1 Exp'!$R$58)-(EXP('GW-1 Exp'!$R$58*('GW-1 Exp'!$S$56-'GW-1 Exp'!$T$56))/'GW-1 Exp'!$R$58))*('GW-1 Exp'!$U$56*'GW-1 Exp'!$V$56*'GW-1 Exp'!$W$56*'GW-1 Exp'!$X$56*'GW-1 Exp'!$AB$58/'GW-1 Exp'!$Y$56)</f>
        <v>0.18094145472793161</v>
      </c>
      <c r="L27" s="517">
        <f xml:space="preserve"> IF(VLOOKUP(A27,[1]!TOX,36,FALSE)="M",((((('GW-1 Inhale'!$I27)/('GW-1 Exp'!$R$63))*('GW-1 Exp'!$S$63+(EXP(-1*'GW-1 Exp'!$R$63*'GW-1 Exp'!$T$63)/'GW-1 Exp'!$R$63)-(EXP('GW-1 Exp'!$R$63*('GW-1 Exp'!$S$63-'GW-1 Exp'!$T$63))/'GW-1 Exp'!$R$63))*('GW-1 Exp'!$U$63*'GW-1 Exp'!$V$63*'GW-1 Exp'!$W$63*'GW-1 Exp'!$X$63*'GW-1 Exp'!$AB$63/'GW-1 Exp'!$Y$63)*10))+(((('GW-1 Inhale'!$I27)/('GW-1 Exp'!$R$64))*('GW-1 Exp'!$S$64+(EXP(-1*'GW-1 Exp'!$R$64*'GW-1 Exp'!$T$64)/'GW-1 Exp'!$R$64)-(EXP('GW-1 Exp'!$R$64*('GW-1 Exp'!$S$64-'GW-1 Exp'!$T$64))/'GW-1 Exp'!$R$64))*('GW-1 Exp'!$U$64*'GW-1 Exp'!$V$64*'GW-1 Exp'!$W$64*'GW-1 Exp'!$X$64*'GW-1 Exp'!$AB$64/'GW-1 Exp'!$Y$64))*3)+(((('GW-1 Inhale'!$I27)/('GW-1 Exp'!$R$65))*('GW-1 Exp'!$S$65+(EXP(-1*'GW-1 Exp'!$R$65*'GW-1 Exp'!$T$65)/'GW-1 Exp'!$R$65)-(EXP('GW-1 Exp'!$R$65*('GW-1 Exp'!$S$65-'GW-1 Exp'!$T$65))/'GW-1 Exp'!$R$65))*('GW-1 Exp'!$U$65*'GW-1 Exp'!$V$65*'GW-1 Exp'!$W$65*'GW-1 Exp'!$X$65*'GW-1 Exp'!$AB$65/'GW-1 Exp'!$Y$65))*3)+(((('GW-1 Inhale'!$I27)/('GW-1 Exp'!$R$66))*('GW-1 Exp'!$S$66+(EXP(-1*'GW-1 Exp'!$R$66*'GW-1 Exp'!$T$66)/'GW-1 Exp'!$R$66)-(EXP('GW-1 Exp'!$R$66*('GW-1 Exp'!$S$66-'GW-1 Exp'!$T$66))/'GW-1 Exp'!$R$66))*('GW-1 Exp'!$U$66*'GW-1 Exp'!$V$66*'GW-1 Exp'!$W$66*'GW-1 Exp'!$X$66*'GW-1 Exp'!$AB$66/'GW-1 Exp'!$Y$66))*1)),0)</f>
        <v>0</v>
      </c>
      <c r="M27" s="518">
        <f>IF(OR((VLOOKUP(A27,[1]!TOX,8,FALSE))=0,J27=0),0,'[1]Target Risk'!$D$8*(VLOOKUP(A27,[1]!TOX,8,FALSE))*'GW-1 Exp'!$Z$58/(VLOOKUP(A27,DWInhale,10,FALSE)))</f>
        <v>56.846872177394793</v>
      </c>
      <c r="N27" s="519">
        <f>IF(OR(K27=0,(VLOOKUP(A27,[1]!TOX,15,FALSE))=0),0,IF(VLOOKUP(A27,[1]!TOX,36,FALSE)="M",'[1]Target Risk'!$D$12/((VLOOKUP(A27,[1]!TOX,15,FALSE))*(VLOOKUP(A27,DWInhale,12,FALSE))), '[1]Target Risk'!$D$12/((VLOOKUP(A27,[1]!TOX,15,FALSE))*(VLOOKUP(A27,DWInhale,11,FALSE)))))</f>
        <v>5.0242268166675368</v>
      </c>
      <c r="O27" s="520">
        <f>IF(OR(VLOOKUP(A27,[1]!TOX,15,FALSE)=0, NOT(VLOOKUP(A27,[1]!TOX,36,FALSE)="M")),0,'[1]Target Risk'!$D$12/(VLOOKUP(A27,[1]!TOX,15,FALSE)*VLOOKUP(A27,DWInhale,12,FALSE)))</f>
        <v>0</v>
      </c>
    </row>
    <row r="28" spans="1:15" x14ac:dyDescent="0.25">
      <c r="A28" s="510" t="s">
        <v>180</v>
      </c>
      <c r="B28" s="511">
        <f>(VLOOKUP(A28,[1]!TOX,54,FALSE))</f>
        <v>7.3400000000000002E-3</v>
      </c>
      <c r="C28" s="512">
        <f>(VLOOKUP(A28,[1]!TOX,57,FALSE))</f>
        <v>95</v>
      </c>
      <c r="D28" s="513">
        <f>IF(C28=0,0,'GW-1 Exp'!$F$58*(18/C28)^0.5)</f>
        <v>1305.8572501980211</v>
      </c>
      <c r="E28" s="514">
        <f>IF(C28=0,0,'GW-1 Exp'!$G$58*(44/C28)^0.5)</f>
        <v>13.611140947574413</v>
      </c>
      <c r="F28" s="514">
        <f>IF(B28*D28=0,0,((1/E28)+(('GW-1 Exp'!$E$58*'GW-1 Exp'!$M$58)/(B28*D28)))^-1)</f>
        <v>13.1620765232189</v>
      </c>
      <c r="G28" s="514">
        <f>F28*(('GW-1 Exp'!$H$58*'GW-1 Exp'!$J$58)/('GW-1 Exp'!$N$58*'GW-1 Exp'!$I$58))^-0.5</f>
        <v>17.779309581391786</v>
      </c>
      <c r="H28" s="514">
        <f>(1-EXP((-1*G28*'GW-1 Exp'!$D$58)/(60*'GW-1 Exp'!$C$58)))</f>
        <v>0.4471362287326679</v>
      </c>
      <c r="I28" s="515">
        <f>H28*'GW-1 Exp'!$P$58/'GW-1 Exp'!$Q$58</f>
        <v>0.74522704788777983</v>
      </c>
      <c r="J28" s="516">
        <f>(('GW-1 Inhale'!$I28)/('GW-1 Exp'!$R$58))*('GW-1 Exp'!$S$48+(EXP(-1*'GW-1 Exp'!$R$58*'GW-1 Exp'!$T$48)/'GW-1 Exp'!$R$58)-(EXP('GW-1 Exp'!$R$58*('GW-1 Exp'!$S$48-'GW-1 Exp'!$T$48))/'GW-1 Exp'!$R$58))*('GW-1 Exp'!$U$48*'GW-1 Exp'!$V$48*'GW-1 Exp'!$W$48*'GW-1 Exp'!$X$48*'GW-1 Exp'!$AB$58/'GW-1 Exp'!$Y$48)</f>
        <v>0.48787912159718155</v>
      </c>
      <c r="K28" s="517">
        <f>(('GW-1 Inhale'!$I28)/('GW-1 Exp'!$R$58))*('GW-1 Exp'!$S$56+(EXP(-1*'GW-1 Exp'!$R$58*'GW-1 Exp'!$T$56)/'GW-1 Exp'!$R$58)-(EXP('GW-1 Exp'!$R$58*('GW-1 Exp'!$S$56-'GW-1 Exp'!$T$56))/'GW-1 Exp'!$R$58))*('GW-1 Exp'!$U$56*'GW-1 Exp'!$V$56*'GW-1 Exp'!$W$56*'GW-1 Exp'!$X$56*'GW-1 Exp'!$AB$58/'GW-1 Exp'!$Y$56)</f>
        <v>0.35845021824077344</v>
      </c>
      <c r="L28" s="517">
        <f xml:space="preserve"> IF(VLOOKUP(A28,[1]!TOX,36,FALSE)="M",((((('GW-1 Inhale'!$I28)/('GW-1 Exp'!$R$63))*('GW-1 Exp'!$S$63+(EXP(-1*'GW-1 Exp'!$R$63*'GW-1 Exp'!$T$63)/'GW-1 Exp'!$R$63)-(EXP('GW-1 Exp'!$R$63*('GW-1 Exp'!$S$63-'GW-1 Exp'!$T$63))/'GW-1 Exp'!$R$63))*('GW-1 Exp'!$U$63*'GW-1 Exp'!$V$63*'GW-1 Exp'!$W$63*'GW-1 Exp'!$X$63*'GW-1 Exp'!$AB$63/'GW-1 Exp'!$Y$63)*10))+(((('GW-1 Inhale'!$I28)/('GW-1 Exp'!$R$64))*('GW-1 Exp'!$S$64+(EXP(-1*'GW-1 Exp'!$R$64*'GW-1 Exp'!$T$64)/'GW-1 Exp'!$R$64)-(EXP('GW-1 Exp'!$R$64*('GW-1 Exp'!$S$64-'GW-1 Exp'!$T$64))/'GW-1 Exp'!$R$64))*('GW-1 Exp'!$U$64*'GW-1 Exp'!$V$64*'GW-1 Exp'!$W$64*'GW-1 Exp'!$X$64*'GW-1 Exp'!$AB$64/'GW-1 Exp'!$Y$64))*3)+(((('GW-1 Inhale'!$I28)/('GW-1 Exp'!$R$65))*('GW-1 Exp'!$S$65+(EXP(-1*'GW-1 Exp'!$R$65*'GW-1 Exp'!$T$65)/'GW-1 Exp'!$R$65)-(EXP('GW-1 Exp'!$R$65*('GW-1 Exp'!$S$65-'GW-1 Exp'!$T$65))/'GW-1 Exp'!$R$65))*('GW-1 Exp'!$U$65*'GW-1 Exp'!$V$65*'GW-1 Exp'!$W$65*'GW-1 Exp'!$X$65*'GW-1 Exp'!$AB$65/'GW-1 Exp'!$Y$65))*3)+(((('GW-1 Inhale'!$I28)/('GW-1 Exp'!$R$66))*('GW-1 Exp'!$S$66+(EXP(-1*'GW-1 Exp'!$R$66*'GW-1 Exp'!$T$66)/'GW-1 Exp'!$R$66)-(EXP('GW-1 Exp'!$R$66*('GW-1 Exp'!$S$66-'GW-1 Exp'!$T$66))/'GW-1 Exp'!$R$66))*('GW-1 Exp'!$U$66*'GW-1 Exp'!$V$66*'GW-1 Exp'!$W$66*'GW-1 Exp'!$X$66*'GW-1 Exp'!$AB$66/'GW-1 Exp'!$Y$66))*1)),0)</f>
        <v>0</v>
      </c>
      <c r="M28" s="518">
        <f>IF(OR((VLOOKUP(A28,[1]!TOX,8,FALSE))=0,J28=0),0,'[1]Target Risk'!$D$8*(VLOOKUP(A28,[1]!TOX,8,FALSE))*'GW-1 Exp'!$Z$58/(VLOOKUP(A28,DWInhale,10,FALSE)))</f>
        <v>2.0496880389680872</v>
      </c>
      <c r="N28" s="519">
        <f>IF(OR(K28=0,(VLOOKUP(A28,[1]!TOX,15,FALSE))=0),0,IF(VLOOKUP(A28,[1]!TOX,36,FALSE)="M",'[1]Target Risk'!$D$12/((VLOOKUP(A28,[1]!TOX,15,FALSE))*(VLOOKUP(A28,DWInhale,12,FALSE))), '[1]Target Risk'!$D$12/((VLOOKUP(A28,[1]!TOX,15,FALSE))*(VLOOKUP(A28,DWInhale,11,FALSE)))))</f>
        <v>0</v>
      </c>
      <c r="O28" s="520">
        <f>IF(OR(VLOOKUP(A28,[1]!TOX,15,FALSE)=0, NOT(VLOOKUP(A28,[1]!TOX,36,FALSE)="M")),0,'[1]Target Risk'!$D$12/(VLOOKUP(A28,[1]!TOX,15,FALSE)*VLOOKUP(A28,DWInhale,12,FALSE)))</f>
        <v>0</v>
      </c>
    </row>
    <row r="29" spans="1:15" x14ac:dyDescent="0.25">
      <c r="A29" s="510" t="s">
        <v>181</v>
      </c>
      <c r="B29" s="511">
        <f>(VLOOKUP(A29,[1]!TOX,54,FALSE))</f>
        <v>0</v>
      </c>
      <c r="C29" s="512">
        <f>(VLOOKUP(A29,[1]!TOX,57,FALSE))</f>
        <v>112</v>
      </c>
      <c r="D29" s="513">
        <f>IF(C29=0,0,'GW-1 Exp'!$F$58*(18/C29)^0.5)</f>
        <v>1202.6755886059098</v>
      </c>
      <c r="E29" s="514">
        <f>IF(C29=0,0,'GW-1 Exp'!$G$58*(44/C29)^0.5)</f>
        <v>12.535663410560174</v>
      </c>
      <c r="F29" s="514">
        <f>IF(B29*D29=0,0,((1/E29)+(('GW-1 Exp'!$E$58*'GW-1 Exp'!$M$58)/(B29*D29)))^-1)</f>
        <v>0</v>
      </c>
      <c r="G29" s="514">
        <f>F29*(('GW-1 Exp'!$H$58*'GW-1 Exp'!$J$58)/('GW-1 Exp'!$N$58*'GW-1 Exp'!$I$58))^-0.5</f>
        <v>0</v>
      </c>
      <c r="H29" s="514">
        <f>(1-EXP((-1*G29*'GW-1 Exp'!$D$58)/(60*'GW-1 Exp'!$C$58)))</f>
        <v>0</v>
      </c>
      <c r="I29" s="515">
        <f>H29*'GW-1 Exp'!$P$58/'GW-1 Exp'!$Q$58</f>
        <v>0</v>
      </c>
      <c r="J29" s="516">
        <f>(('GW-1 Inhale'!$I29)/('GW-1 Exp'!$R$58))*('GW-1 Exp'!$S$48+(EXP(-1*'GW-1 Exp'!$R$58*'GW-1 Exp'!$T$48)/'GW-1 Exp'!$R$58)-(EXP('GW-1 Exp'!$R$58*('GW-1 Exp'!$S$48-'GW-1 Exp'!$T$48))/'GW-1 Exp'!$R$58))*('GW-1 Exp'!$U$48*'GW-1 Exp'!$V$48*'GW-1 Exp'!$W$48*'GW-1 Exp'!$X$48*'GW-1 Exp'!$AB$58/'GW-1 Exp'!$Y$48)</f>
        <v>0</v>
      </c>
      <c r="K29" s="517">
        <f>(('GW-1 Inhale'!$I29)/('GW-1 Exp'!$R$58))*('GW-1 Exp'!$S$56+(EXP(-1*'GW-1 Exp'!$R$58*'GW-1 Exp'!$T$56)/'GW-1 Exp'!$R$58)-(EXP('GW-1 Exp'!$R$58*('GW-1 Exp'!$S$56-'GW-1 Exp'!$T$56))/'GW-1 Exp'!$R$58))*('GW-1 Exp'!$U$56*'GW-1 Exp'!$V$56*'GW-1 Exp'!$W$56*'GW-1 Exp'!$X$56*'GW-1 Exp'!$AB$58/'GW-1 Exp'!$Y$56)</f>
        <v>0</v>
      </c>
      <c r="L29" s="517">
        <f xml:space="preserve"> IF(VLOOKUP(A29,[1]!TOX,36,FALSE)="M",((((('GW-1 Inhale'!$I29)/('GW-1 Exp'!$R$63))*('GW-1 Exp'!$S$63+(EXP(-1*'GW-1 Exp'!$R$63*'GW-1 Exp'!$T$63)/'GW-1 Exp'!$R$63)-(EXP('GW-1 Exp'!$R$63*('GW-1 Exp'!$S$63-'GW-1 Exp'!$T$63))/'GW-1 Exp'!$R$63))*('GW-1 Exp'!$U$63*'GW-1 Exp'!$V$63*'GW-1 Exp'!$W$63*'GW-1 Exp'!$X$63*'GW-1 Exp'!$AB$63/'GW-1 Exp'!$Y$63)*10))+(((('GW-1 Inhale'!$I29)/('GW-1 Exp'!$R$64))*('GW-1 Exp'!$S$64+(EXP(-1*'GW-1 Exp'!$R$64*'GW-1 Exp'!$T$64)/'GW-1 Exp'!$R$64)-(EXP('GW-1 Exp'!$R$64*('GW-1 Exp'!$S$64-'GW-1 Exp'!$T$64))/'GW-1 Exp'!$R$64))*('GW-1 Exp'!$U$64*'GW-1 Exp'!$V$64*'GW-1 Exp'!$W$64*'GW-1 Exp'!$X$64*'GW-1 Exp'!$AB$64/'GW-1 Exp'!$Y$64))*3)+(((('GW-1 Inhale'!$I29)/('GW-1 Exp'!$R$65))*('GW-1 Exp'!$S$65+(EXP(-1*'GW-1 Exp'!$R$65*'GW-1 Exp'!$T$65)/'GW-1 Exp'!$R$65)-(EXP('GW-1 Exp'!$R$65*('GW-1 Exp'!$S$65-'GW-1 Exp'!$T$65))/'GW-1 Exp'!$R$65))*('GW-1 Exp'!$U$65*'GW-1 Exp'!$V$65*'GW-1 Exp'!$W$65*'GW-1 Exp'!$X$65*'GW-1 Exp'!$AB$65/'GW-1 Exp'!$Y$65))*3)+(((('GW-1 Inhale'!$I29)/('GW-1 Exp'!$R$66))*('GW-1 Exp'!$S$66+(EXP(-1*'GW-1 Exp'!$R$66*'GW-1 Exp'!$T$66)/'GW-1 Exp'!$R$66)-(EXP('GW-1 Exp'!$R$66*('GW-1 Exp'!$S$66-'GW-1 Exp'!$T$66))/'GW-1 Exp'!$R$66))*('GW-1 Exp'!$U$66*'GW-1 Exp'!$V$66*'GW-1 Exp'!$W$66*'GW-1 Exp'!$X$66*'GW-1 Exp'!$AB$66/'GW-1 Exp'!$Y$66))*1)),0)</f>
        <v>0</v>
      </c>
      <c r="M29" s="518">
        <f>IF(OR((VLOOKUP(A29,[1]!TOX,8,FALSE))=0,J29=0),0,'[1]Target Risk'!$D$8*(VLOOKUP(A29,[1]!TOX,8,FALSE))*'GW-1 Exp'!$Z$58/(VLOOKUP(A29,DWInhale,10,FALSE)))</f>
        <v>0</v>
      </c>
      <c r="N29" s="519">
        <f>IF(OR(K29=0,(VLOOKUP(A29,[1]!TOX,15,FALSE))=0),0,IF(VLOOKUP(A29,[1]!TOX,36,FALSE)="M",'[1]Target Risk'!$D$12/((VLOOKUP(A29,[1]!TOX,15,FALSE))*(VLOOKUP(A29,DWInhale,12,FALSE))), '[1]Target Risk'!$D$12/((VLOOKUP(A29,[1]!TOX,15,FALSE))*(VLOOKUP(A29,DWInhale,11,FALSE)))))</f>
        <v>0</v>
      </c>
      <c r="O29" s="520">
        <f>IF(OR(VLOOKUP(A29,[1]!TOX,15,FALSE)=0, NOT(VLOOKUP(A29,[1]!TOX,36,FALSE)="M")),0,'[1]Target Risk'!$D$12/(VLOOKUP(A29,[1]!TOX,15,FALSE)*VLOOKUP(A29,DWInhale,12,FALSE)))</f>
        <v>0</v>
      </c>
    </row>
    <row r="30" spans="1:15" x14ac:dyDescent="0.25">
      <c r="A30" s="510" t="s">
        <v>182</v>
      </c>
      <c r="B30" s="511">
        <f>(VLOOKUP(A30,[1]!TOX,54,FALSE))</f>
        <v>2.76E-2</v>
      </c>
      <c r="C30" s="512">
        <f>(VLOOKUP(A30,[1]!TOX,57,FALSE))</f>
        <v>154</v>
      </c>
      <c r="D30" s="513">
        <f>IF(C30=0,0,'GW-1 Exp'!$F$58*(18/C30)^0.5)</f>
        <v>1025.6451881367416</v>
      </c>
      <c r="E30" s="514">
        <f>IF(C30=0,0,'GW-1 Exp'!$G$58*(44/C30)^0.5)</f>
        <v>10.690449676496975</v>
      </c>
      <c r="F30" s="514">
        <f>IF(B30*D30=0,0,((1/E30)+(('GW-1 Exp'!$E$58*'GW-1 Exp'!$M$58)/(B30*D30)))^-1)</f>
        <v>10.594322890389959</v>
      </c>
      <c r="G30" s="514">
        <f>F30*(('GW-1 Exp'!$H$58*'GW-1 Exp'!$J$58)/('GW-1 Exp'!$N$58*'GW-1 Exp'!$I$58))^-0.5</f>
        <v>14.310792536511064</v>
      </c>
      <c r="H30" s="514">
        <f>(1-EXP((-1*G30*'GW-1 Exp'!$D$58)/(60*'GW-1 Exp'!$C$58)))</f>
        <v>0.37937386655214944</v>
      </c>
      <c r="I30" s="515">
        <f>H30*'GW-1 Exp'!$P$58/'GW-1 Exp'!$Q$58</f>
        <v>0.63228977758691574</v>
      </c>
      <c r="J30" s="516">
        <f>(('GW-1 Inhale'!$I30)/('GW-1 Exp'!$R$58))*('GW-1 Exp'!$S$48+(EXP(-1*'GW-1 Exp'!$R$58*'GW-1 Exp'!$T$48)/'GW-1 Exp'!$R$58)-(EXP('GW-1 Exp'!$R$58*('GW-1 Exp'!$S$48-'GW-1 Exp'!$T$48))/'GW-1 Exp'!$R$58))*('GW-1 Exp'!$U$48*'GW-1 Exp'!$V$48*'GW-1 Exp'!$W$48*'GW-1 Exp'!$X$48*'GW-1 Exp'!$AB$58/'GW-1 Exp'!$Y$48)</f>
        <v>0.41394227726747029</v>
      </c>
      <c r="K30" s="517">
        <f>(('GW-1 Inhale'!$I30)/('GW-1 Exp'!$R$58))*('GW-1 Exp'!$S$56+(EXP(-1*'GW-1 Exp'!$R$58*'GW-1 Exp'!$T$56)/'GW-1 Exp'!$R$58)-(EXP('GW-1 Exp'!$R$58*('GW-1 Exp'!$S$56-'GW-1 Exp'!$T$56))/'GW-1 Exp'!$R$58))*('GW-1 Exp'!$U$56*'GW-1 Exp'!$V$56*'GW-1 Exp'!$W$56*'GW-1 Exp'!$X$56*'GW-1 Exp'!$AB$58/'GW-1 Exp'!$Y$56)</f>
        <v>0.30412799617220732</v>
      </c>
      <c r="L30" s="517">
        <f xml:space="preserve"> IF(VLOOKUP(A30,[1]!TOX,36,FALSE)="M",((((('GW-1 Inhale'!$I30)/('GW-1 Exp'!$R$63))*('GW-1 Exp'!$S$63+(EXP(-1*'GW-1 Exp'!$R$63*'GW-1 Exp'!$T$63)/'GW-1 Exp'!$R$63)-(EXP('GW-1 Exp'!$R$63*('GW-1 Exp'!$S$63-'GW-1 Exp'!$T$63))/'GW-1 Exp'!$R$63))*('GW-1 Exp'!$U$63*'GW-1 Exp'!$V$63*'GW-1 Exp'!$W$63*'GW-1 Exp'!$X$63*'GW-1 Exp'!$AB$63/'GW-1 Exp'!$Y$63)*10))+(((('GW-1 Inhale'!$I30)/('GW-1 Exp'!$R$64))*('GW-1 Exp'!$S$64+(EXP(-1*'GW-1 Exp'!$R$64*'GW-1 Exp'!$T$64)/'GW-1 Exp'!$R$64)-(EXP('GW-1 Exp'!$R$64*('GW-1 Exp'!$S$64-'GW-1 Exp'!$T$64))/'GW-1 Exp'!$R$64))*('GW-1 Exp'!$U$64*'GW-1 Exp'!$V$64*'GW-1 Exp'!$W$64*'GW-1 Exp'!$X$64*'GW-1 Exp'!$AB$64/'GW-1 Exp'!$Y$64))*3)+(((('GW-1 Inhale'!$I30)/('GW-1 Exp'!$R$65))*('GW-1 Exp'!$S$65+(EXP(-1*'GW-1 Exp'!$R$65*'GW-1 Exp'!$T$65)/'GW-1 Exp'!$R$65)-(EXP('GW-1 Exp'!$R$65*('GW-1 Exp'!$S$65-'GW-1 Exp'!$T$65))/'GW-1 Exp'!$R$65))*('GW-1 Exp'!$U$65*'GW-1 Exp'!$V$65*'GW-1 Exp'!$W$65*'GW-1 Exp'!$X$65*'GW-1 Exp'!$AB$65/'GW-1 Exp'!$Y$65))*3)+(((('GW-1 Inhale'!$I30)/('GW-1 Exp'!$R$66))*('GW-1 Exp'!$S$66+(EXP(-1*'GW-1 Exp'!$R$66*'GW-1 Exp'!$T$66)/'GW-1 Exp'!$R$66)-(EXP('GW-1 Exp'!$R$66*('GW-1 Exp'!$S$66-'GW-1 Exp'!$T$66))/'GW-1 Exp'!$R$66))*('GW-1 Exp'!$U$66*'GW-1 Exp'!$V$66*'GW-1 Exp'!$W$66*'GW-1 Exp'!$X$66*'GW-1 Exp'!$AB$66/'GW-1 Exp'!$Y$66))*1)),0)</f>
        <v>0</v>
      </c>
      <c r="M30" s="518">
        <f>IF(OR((VLOOKUP(A30,[1]!TOX,8,FALSE))=0,J30=0),0,'[1]Target Risk'!$D$8*(VLOOKUP(A30,[1]!TOX,8,FALSE))*'GW-1 Exp'!$Z$58/(VLOOKUP(A30,DWInhale,10,FALSE)))</f>
        <v>48.315915281774735</v>
      </c>
      <c r="N30" s="519">
        <f>IF(OR(K30=0,(VLOOKUP(A30,[1]!TOX,15,FALSE))=0),0,IF(VLOOKUP(A30,[1]!TOX,36,FALSE)="M",'[1]Target Risk'!$D$12/((VLOOKUP(A30,[1]!TOX,15,FALSE))*(VLOOKUP(A30,DWInhale,12,FALSE))), '[1]Target Risk'!$D$12/((VLOOKUP(A30,[1]!TOX,15,FALSE))*(VLOOKUP(A30,DWInhale,11,FALSE)))))</f>
        <v>0.54801487782892067</v>
      </c>
      <c r="O30" s="520">
        <f>IF(OR(VLOOKUP(A30,[1]!TOX,15,FALSE)=0, NOT(VLOOKUP(A30,[1]!TOX,36,FALSE)="M")),0,'[1]Target Risk'!$D$12/(VLOOKUP(A30,[1]!TOX,15,FALSE)*VLOOKUP(A30,DWInhale,12,FALSE)))</f>
        <v>0</v>
      </c>
    </row>
    <row r="31" spans="1:15" x14ac:dyDescent="0.25">
      <c r="A31" s="510" t="s">
        <v>183</v>
      </c>
      <c r="B31" s="511">
        <f>(VLOOKUP(A31,[1]!TOX,54,FALSE))</f>
        <v>7.0300000000000001E-5</v>
      </c>
      <c r="C31" s="512">
        <f>(VLOOKUP(A31,[1]!TOX,57,FALSE))</f>
        <v>410</v>
      </c>
      <c r="D31" s="513">
        <f>IF(C31=0,0,'GW-1 Exp'!$F$58*(18/C31)^0.5)</f>
        <v>628.58726619262029</v>
      </c>
      <c r="E31" s="514">
        <f>IF(C31=0,0,'GW-1 Exp'!$G$58*(44/C31)^0.5)</f>
        <v>6.5518569328315381</v>
      </c>
      <c r="F31" s="514">
        <f>IF(B31*D31=0,0,((1/E31)+(('GW-1 Exp'!$E$58*'GW-1 Exp'!$M$58)/(B31*D31)))^-1)</f>
        <v>1.4361006323688745</v>
      </c>
      <c r="G31" s="514">
        <f>F31*(('GW-1 Exp'!$H$58*'GW-1 Exp'!$J$58)/('GW-1 Exp'!$N$58*'GW-1 Exp'!$I$58))^-0.5</f>
        <v>1.9398821825626682</v>
      </c>
      <c r="H31" s="514">
        <f>(1-EXP((-1*G31*'GW-1 Exp'!$D$58)/(60*'GW-1 Exp'!$C$58)))</f>
        <v>6.2616447406012354E-2</v>
      </c>
      <c r="I31" s="515">
        <f>H31*'GW-1 Exp'!$P$58/'GW-1 Exp'!$Q$58</f>
        <v>0.10436074567668725</v>
      </c>
      <c r="J31" s="516">
        <f>(('GW-1 Inhale'!$I31)/('GW-1 Exp'!$R$58))*('GW-1 Exp'!$S$48+(EXP(-1*'GW-1 Exp'!$R$58*'GW-1 Exp'!$T$48)/'GW-1 Exp'!$R$58)-(EXP('GW-1 Exp'!$R$58*('GW-1 Exp'!$S$48-'GW-1 Exp'!$T$48))/'GW-1 Exp'!$R$58))*('GW-1 Exp'!$U$48*'GW-1 Exp'!$V$48*'GW-1 Exp'!$W$48*'GW-1 Exp'!$X$48*'GW-1 Exp'!$AB$58/'GW-1 Exp'!$Y$48)</f>
        <v>6.8322035645754162E-2</v>
      </c>
      <c r="K31" s="517">
        <f>(('GW-1 Inhale'!$I31)/('GW-1 Exp'!$R$58))*('GW-1 Exp'!$S$56+(EXP(-1*'GW-1 Exp'!$R$58*'GW-1 Exp'!$T$56)/'GW-1 Exp'!$R$58)-(EXP('GW-1 Exp'!$R$58*('GW-1 Exp'!$S$56-'GW-1 Exp'!$T$56))/'GW-1 Exp'!$R$58))*('GW-1 Exp'!$U$56*'GW-1 Exp'!$V$56*'GW-1 Exp'!$W$56*'GW-1 Exp'!$X$56*'GW-1 Exp'!$AB$58/'GW-1 Exp'!$Y$56)</f>
        <v>5.0196959664313631E-2</v>
      </c>
      <c r="L31" s="517">
        <f xml:space="preserve"> IF(VLOOKUP(A31,[1]!TOX,36,FALSE)="M",((((('GW-1 Inhale'!$I31)/('GW-1 Exp'!$R$63))*('GW-1 Exp'!$S$63+(EXP(-1*'GW-1 Exp'!$R$63*'GW-1 Exp'!$T$63)/'GW-1 Exp'!$R$63)-(EXP('GW-1 Exp'!$R$63*('GW-1 Exp'!$S$63-'GW-1 Exp'!$T$63))/'GW-1 Exp'!$R$63))*('GW-1 Exp'!$U$63*'GW-1 Exp'!$V$63*'GW-1 Exp'!$W$63*'GW-1 Exp'!$X$63*'GW-1 Exp'!$AB$63/'GW-1 Exp'!$Y$63)*10))+(((('GW-1 Inhale'!$I31)/('GW-1 Exp'!$R$64))*('GW-1 Exp'!$S$64+(EXP(-1*'GW-1 Exp'!$R$64*'GW-1 Exp'!$T$64)/'GW-1 Exp'!$R$64)-(EXP('GW-1 Exp'!$R$64*('GW-1 Exp'!$S$64-'GW-1 Exp'!$T$64))/'GW-1 Exp'!$R$64))*('GW-1 Exp'!$U$64*'GW-1 Exp'!$V$64*'GW-1 Exp'!$W$64*'GW-1 Exp'!$X$64*'GW-1 Exp'!$AB$64/'GW-1 Exp'!$Y$64))*3)+(((('GW-1 Inhale'!$I31)/('GW-1 Exp'!$R$65))*('GW-1 Exp'!$S$65+(EXP(-1*'GW-1 Exp'!$R$65*'GW-1 Exp'!$T$65)/'GW-1 Exp'!$R$65)-(EXP('GW-1 Exp'!$R$65*('GW-1 Exp'!$S$65-'GW-1 Exp'!$T$65))/'GW-1 Exp'!$R$65))*('GW-1 Exp'!$U$65*'GW-1 Exp'!$V$65*'GW-1 Exp'!$W$65*'GW-1 Exp'!$X$65*'GW-1 Exp'!$AB$65/'GW-1 Exp'!$Y$65))*3)+(((('GW-1 Inhale'!$I31)/('GW-1 Exp'!$R$66))*('GW-1 Exp'!$S$66+(EXP(-1*'GW-1 Exp'!$R$66*'GW-1 Exp'!$T$66)/'GW-1 Exp'!$R$66)-(EXP('GW-1 Exp'!$R$66*('GW-1 Exp'!$S$66-'GW-1 Exp'!$T$66))/'GW-1 Exp'!$R$66))*('GW-1 Exp'!$U$66*'GW-1 Exp'!$V$66*'GW-1 Exp'!$W$66*'GW-1 Exp'!$X$66*'GW-1 Exp'!$AB$66/'GW-1 Exp'!$Y$66))*1)),0)</f>
        <v>0</v>
      </c>
      <c r="M31" s="518">
        <f>IF(OR((VLOOKUP(A31,[1]!TOX,8,FALSE))=0,J31=0),0,'[1]Target Risk'!$D$8*(VLOOKUP(A31,[1]!TOX,8,FALSE))*'GW-1 Exp'!$Z$58/(VLOOKUP(A31,DWInhale,10,FALSE)))</f>
        <v>2.0491192728198553</v>
      </c>
      <c r="N31" s="519">
        <f>IF(OR(K31=0,(VLOOKUP(A31,[1]!TOX,15,FALSE))=0),0,IF(VLOOKUP(A31,[1]!TOX,36,FALSE)="M",'[1]Target Risk'!$D$12/((VLOOKUP(A31,[1]!TOX,15,FALSE))*(VLOOKUP(A31,DWInhale,12,FALSE))), '[1]Target Risk'!$D$12/((VLOOKUP(A31,[1]!TOX,15,FALSE))*(VLOOKUP(A31,DWInhale,11,FALSE)))))</f>
        <v>0.19921525261437831</v>
      </c>
      <c r="O31" s="520">
        <f>IF(OR(VLOOKUP(A31,[1]!TOX,15,FALSE)=0, NOT(VLOOKUP(A31,[1]!TOX,36,FALSE)="M")),0,'[1]Target Risk'!$D$12/(VLOOKUP(A31,[1]!TOX,15,FALSE)*VLOOKUP(A31,DWInhale,12,FALSE)))</f>
        <v>0</v>
      </c>
    </row>
    <row r="32" spans="1:15" x14ac:dyDescent="0.25">
      <c r="A32" s="510" t="s">
        <v>184</v>
      </c>
      <c r="B32" s="511">
        <f>(VLOOKUP(A32,[1]!TOX,54,FALSE))</f>
        <v>1.1599999999999999E-6</v>
      </c>
      <c r="C32" s="512">
        <f>(VLOOKUP(A32,[1]!TOX,57,FALSE))</f>
        <v>128</v>
      </c>
      <c r="D32" s="513">
        <f>IF(C32=0,0,'GW-1 Exp'!$F$58*(18/C32)^0.5)</f>
        <v>1125</v>
      </c>
      <c r="E32" s="514">
        <f>IF(C32=0,0,'GW-1 Exp'!$G$58*(44/C32)^0.5)</f>
        <v>11.726039399558575</v>
      </c>
      <c r="F32" s="514">
        <f>IF(B32*D32=0,0,((1/E32)+(('GW-1 Exp'!$E$58*'GW-1 Exp'!$M$58)/(B32*D32)))^-1)</f>
        <v>5.4065719811814211E-2</v>
      </c>
      <c r="G32" s="514">
        <f>F32*(('GW-1 Exp'!$H$58*'GW-1 Exp'!$J$58)/('GW-1 Exp'!$N$58*'GW-1 Exp'!$I$58))^-0.5</f>
        <v>7.3031878258670829E-2</v>
      </c>
      <c r="H32" s="514">
        <f>(1-EXP((-1*G32*'GW-1 Exp'!$D$58)/(60*'GW-1 Exp'!$C$58)))</f>
        <v>2.4314352031786779E-3</v>
      </c>
      <c r="I32" s="515">
        <f>H32*'GW-1 Exp'!$P$58/'GW-1 Exp'!$Q$58</f>
        <v>4.0523920052977962E-3</v>
      </c>
      <c r="J32" s="516">
        <f>(('GW-1 Inhale'!$I32)/('GW-1 Exp'!$R$58))*('GW-1 Exp'!$S$48+(EXP(-1*'GW-1 Exp'!$R$58*'GW-1 Exp'!$T$48)/'GW-1 Exp'!$R$58)-(EXP('GW-1 Exp'!$R$58*('GW-1 Exp'!$S$48-'GW-1 Exp'!$T$48))/'GW-1 Exp'!$R$58))*('GW-1 Exp'!$U$48*'GW-1 Exp'!$V$48*'GW-1 Exp'!$W$48*'GW-1 Exp'!$X$48*'GW-1 Exp'!$AB$58/'GW-1 Exp'!$Y$48)</f>
        <v>2.6529867072267732E-3</v>
      </c>
      <c r="K32" s="517">
        <f>(('GW-1 Inhale'!$I32)/('GW-1 Exp'!$R$58))*('GW-1 Exp'!$S$56+(EXP(-1*'GW-1 Exp'!$R$58*'GW-1 Exp'!$T$56)/'GW-1 Exp'!$R$58)-(EXP('GW-1 Exp'!$R$58*('GW-1 Exp'!$S$56-'GW-1 Exp'!$T$56))/'GW-1 Exp'!$R$58))*('GW-1 Exp'!$U$56*'GW-1 Exp'!$V$56*'GW-1 Exp'!$W$56*'GW-1 Exp'!$X$56*'GW-1 Exp'!$AB$58/'GW-1 Exp'!$Y$56)</f>
        <v>1.9491788479943871E-3</v>
      </c>
      <c r="L32" s="517">
        <f xml:space="preserve"> IF(VLOOKUP(A32,[1]!TOX,36,FALSE)="M",((((('GW-1 Inhale'!$I32)/('GW-1 Exp'!$R$63))*('GW-1 Exp'!$S$63+(EXP(-1*'GW-1 Exp'!$R$63*'GW-1 Exp'!$T$63)/'GW-1 Exp'!$R$63)-(EXP('GW-1 Exp'!$R$63*('GW-1 Exp'!$S$63-'GW-1 Exp'!$T$63))/'GW-1 Exp'!$R$63))*('GW-1 Exp'!$U$63*'GW-1 Exp'!$V$63*'GW-1 Exp'!$W$63*'GW-1 Exp'!$X$63*'GW-1 Exp'!$AB$63/'GW-1 Exp'!$Y$63)*10))+(((('GW-1 Inhale'!$I32)/('GW-1 Exp'!$R$64))*('GW-1 Exp'!$S$64+(EXP(-1*'GW-1 Exp'!$R$64*'GW-1 Exp'!$T$64)/'GW-1 Exp'!$R$64)-(EXP('GW-1 Exp'!$R$64*('GW-1 Exp'!$S$64-'GW-1 Exp'!$T$64))/'GW-1 Exp'!$R$64))*('GW-1 Exp'!$U$64*'GW-1 Exp'!$V$64*'GW-1 Exp'!$W$64*'GW-1 Exp'!$X$64*'GW-1 Exp'!$AB$64/'GW-1 Exp'!$Y$64))*3)+(((('GW-1 Inhale'!$I32)/('GW-1 Exp'!$R$65))*('GW-1 Exp'!$S$65+(EXP(-1*'GW-1 Exp'!$R$65*'GW-1 Exp'!$T$65)/'GW-1 Exp'!$R$65)-(EXP('GW-1 Exp'!$R$65*('GW-1 Exp'!$S$65-'GW-1 Exp'!$T$65))/'GW-1 Exp'!$R$65))*('GW-1 Exp'!$U$65*'GW-1 Exp'!$V$65*'GW-1 Exp'!$W$65*'GW-1 Exp'!$X$65*'GW-1 Exp'!$AB$65/'GW-1 Exp'!$Y$65))*3)+(((('GW-1 Inhale'!$I32)/('GW-1 Exp'!$R$66))*('GW-1 Exp'!$S$66+(EXP(-1*'GW-1 Exp'!$R$66*'GW-1 Exp'!$T$66)/'GW-1 Exp'!$R$66)-(EXP('GW-1 Exp'!$R$66*('GW-1 Exp'!$S$66-'GW-1 Exp'!$T$66))/'GW-1 Exp'!$R$66))*('GW-1 Exp'!$U$66*'GW-1 Exp'!$V$66*'GW-1 Exp'!$W$66*'GW-1 Exp'!$X$66*'GW-1 Exp'!$AB$66/'GW-1 Exp'!$Y$66))*1)),0)</f>
        <v>0</v>
      </c>
      <c r="M32" s="518">
        <f>IF(OR((VLOOKUP(A32,[1]!TOX,8,FALSE))=0,J32=0),0,'[1]Target Risk'!$D$8*(VLOOKUP(A32,[1]!TOX,8,FALSE))*'GW-1 Exp'!$Z$58/(VLOOKUP(A32,DWInhale,10,FALSE)))</f>
        <v>150.77346558518155</v>
      </c>
      <c r="N32" s="519">
        <f>IF(OR(K32=0,(VLOOKUP(A32,[1]!TOX,15,FALSE))=0),0,IF(VLOOKUP(A32,[1]!TOX,36,FALSE)="M",'[1]Target Risk'!$D$12/((VLOOKUP(A32,[1]!TOX,15,FALSE))*(VLOOKUP(A32,DWInhale,12,FALSE))), '[1]Target Risk'!$D$12/((VLOOKUP(A32,[1]!TOX,15,FALSE))*(VLOOKUP(A32,DWInhale,11,FALSE)))))</f>
        <v>0</v>
      </c>
      <c r="O32" s="520">
        <f>IF(OR(VLOOKUP(A32,[1]!TOX,15,FALSE)=0, NOT(VLOOKUP(A32,[1]!TOX,36,FALSE)="M")),0,'[1]Target Risk'!$D$12/(VLOOKUP(A32,[1]!TOX,15,FALSE)*VLOOKUP(A32,DWInhale,12,FALSE)))</f>
        <v>0</v>
      </c>
    </row>
    <row r="33" spans="1:15" x14ac:dyDescent="0.25">
      <c r="A33" s="510" t="s">
        <v>185</v>
      </c>
      <c r="B33" s="511">
        <f>(VLOOKUP(A33,[1]!TOX,54,FALSE))</f>
        <v>3.1099999999999999E-3</v>
      </c>
      <c r="C33" s="512">
        <f>(VLOOKUP(A33,[1]!TOX,57,FALSE))</f>
        <v>113</v>
      </c>
      <c r="D33" s="513">
        <f>IF(C33=0,0,'GW-1 Exp'!$F$58*(18/C33)^0.5)</f>
        <v>1197.3421894279306</v>
      </c>
      <c r="E33" s="514">
        <f>IF(C33=0,0,'GW-1 Exp'!$G$58*(44/C33)^0.5)</f>
        <v>12.480072611542791</v>
      </c>
      <c r="F33" s="514">
        <f>IF(B33*D33=0,0,((1/E33)+(('GW-1 Exp'!$E$58*'GW-1 Exp'!$M$58)/(B33*D33)))^-1)</f>
        <v>11.550029651909618</v>
      </c>
      <c r="G33" s="514">
        <f>F33*(('GW-1 Exp'!$H$58*'GW-1 Exp'!$J$58)/('GW-1 Exp'!$N$58*'GW-1 Exp'!$I$58))^-0.5</f>
        <v>15.60175953188695</v>
      </c>
      <c r="H33" s="514">
        <f>(1-EXP((-1*G33*'GW-1 Exp'!$D$58)/(60*'GW-1 Exp'!$C$58)))</f>
        <v>0.40551432026931933</v>
      </c>
      <c r="I33" s="515">
        <f>H33*'GW-1 Exp'!$P$58/'GW-1 Exp'!$Q$58</f>
        <v>0.67585720044886555</v>
      </c>
      <c r="J33" s="516">
        <f>(('GW-1 Inhale'!$I33)/('GW-1 Exp'!$R$58))*('GW-1 Exp'!$S$48+(EXP(-1*'GW-1 Exp'!$R$58*'GW-1 Exp'!$T$48)/'GW-1 Exp'!$R$58)-(EXP('GW-1 Exp'!$R$58*('GW-1 Exp'!$S$48-'GW-1 Exp'!$T$48))/'GW-1 Exp'!$R$58))*('GW-1 Exp'!$U$48*'GW-1 Exp'!$V$48*'GW-1 Exp'!$W$48*'GW-1 Exp'!$X$48*'GW-1 Exp'!$AB$58/'GW-1 Exp'!$Y$48)</f>
        <v>0.44246463975603884</v>
      </c>
      <c r="K33" s="517">
        <f>(('GW-1 Inhale'!$I33)/('GW-1 Exp'!$R$58))*('GW-1 Exp'!$S$56+(EXP(-1*'GW-1 Exp'!$R$58*'GW-1 Exp'!$T$56)/'GW-1 Exp'!$R$58)-(EXP('GW-1 Exp'!$R$58*('GW-1 Exp'!$S$56-'GW-1 Exp'!$T$56))/'GW-1 Exp'!$R$58))*('GW-1 Exp'!$U$56*'GW-1 Exp'!$V$56*'GW-1 Exp'!$W$56*'GW-1 Exp'!$X$56*'GW-1 Exp'!$AB$58/'GW-1 Exp'!$Y$56)</f>
        <v>0.32508369320080693</v>
      </c>
      <c r="L33" s="517">
        <f xml:space="preserve"> IF(VLOOKUP(A33,[1]!TOX,36,FALSE)="M",((((('GW-1 Inhale'!$I33)/('GW-1 Exp'!$R$63))*('GW-1 Exp'!$S$63+(EXP(-1*'GW-1 Exp'!$R$63*'GW-1 Exp'!$T$63)/'GW-1 Exp'!$R$63)-(EXP('GW-1 Exp'!$R$63*('GW-1 Exp'!$S$63-'GW-1 Exp'!$T$63))/'GW-1 Exp'!$R$63))*('GW-1 Exp'!$U$63*'GW-1 Exp'!$V$63*'GW-1 Exp'!$W$63*'GW-1 Exp'!$X$63*'GW-1 Exp'!$AB$63/'GW-1 Exp'!$Y$63)*10))+(((('GW-1 Inhale'!$I33)/('GW-1 Exp'!$R$64))*('GW-1 Exp'!$S$64+(EXP(-1*'GW-1 Exp'!$R$64*'GW-1 Exp'!$T$64)/'GW-1 Exp'!$R$64)-(EXP('GW-1 Exp'!$R$64*('GW-1 Exp'!$S$64-'GW-1 Exp'!$T$64))/'GW-1 Exp'!$R$64))*('GW-1 Exp'!$U$64*'GW-1 Exp'!$V$64*'GW-1 Exp'!$W$64*'GW-1 Exp'!$X$64*'GW-1 Exp'!$AB$64/'GW-1 Exp'!$Y$64))*3)+(((('GW-1 Inhale'!$I33)/('GW-1 Exp'!$R$65))*('GW-1 Exp'!$S$65+(EXP(-1*'GW-1 Exp'!$R$65*'GW-1 Exp'!$T$65)/'GW-1 Exp'!$R$65)-(EXP('GW-1 Exp'!$R$65*('GW-1 Exp'!$S$65-'GW-1 Exp'!$T$65))/'GW-1 Exp'!$R$65))*('GW-1 Exp'!$U$65*'GW-1 Exp'!$V$65*'GW-1 Exp'!$W$65*'GW-1 Exp'!$X$65*'GW-1 Exp'!$AB$65/'GW-1 Exp'!$Y$65))*3)+(((('GW-1 Inhale'!$I33)/('GW-1 Exp'!$R$66))*('GW-1 Exp'!$S$66+(EXP(-1*'GW-1 Exp'!$R$66*'GW-1 Exp'!$T$66)/'GW-1 Exp'!$R$66)-(EXP('GW-1 Exp'!$R$66*('GW-1 Exp'!$S$66-'GW-1 Exp'!$T$66))/'GW-1 Exp'!$R$66))*('GW-1 Exp'!$U$66*'GW-1 Exp'!$V$66*'GW-1 Exp'!$W$66*'GW-1 Exp'!$X$66*'GW-1 Exp'!$AB$66/'GW-1 Exp'!$Y$66))*1)),0)</f>
        <v>0</v>
      </c>
      <c r="M33" s="518">
        <f>IF(OR((VLOOKUP(A33,[1]!TOX,8,FALSE))=0,J33=0),0,'[1]Target Risk'!$D$8*(VLOOKUP(A33,[1]!TOX,8,FALSE))*'GW-1 Exp'!$Z$58/(VLOOKUP(A33,DWInhale,10,FALSE)))</f>
        <v>22.600676080044924</v>
      </c>
      <c r="N33" s="519">
        <f>IF(OR(K33=0,(VLOOKUP(A33,[1]!TOX,15,FALSE))=0),0,IF(VLOOKUP(A33,[1]!TOX,36,FALSE)="M",'[1]Target Risk'!$D$12/((VLOOKUP(A33,[1]!TOX,15,FALSE))*(VLOOKUP(A33,DWInhale,12,FALSE))), '[1]Target Risk'!$D$12/((VLOOKUP(A33,[1]!TOX,15,FALSE))*(VLOOKUP(A33,DWInhale,11,FALSE)))))</f>
        <v>0</v>
      </c>
      <c r="O33" s="520">
        <f>IF(OR(VLOOKUP(A33,[1]!TOX,15,FALSE)=0, NOT(VLOOKUP(A33,[1]!TOX,36,FALSE)="M")),0,'[1]Target Risk'!$D$12/(VLOOKUP(A33,[1]!TOX,15,FALSE)*VLOOKUP(A33,DWInhale,12,FALSE)))</f>
        <v>0</v>
      </c>
    </row>
    <row r="34" spans="1:15" x14ac:dyDescent="0.25">
      <c r="A34" s="510" t="s">
        <v>186</v>
      </c>
      <c r="B34" s="511">
        <f>(VLOOKUP(A34,[1]!TOX,54,FALSE))</f>
        <v>3.6700000000000001E-3</v>
      </c>
      <c r="C34" s="512">
        <f>(VLOOKUP(A34,[1]!TOX,57,FALSE))</f>
        <v>119</v>
      </c>
      <c r="D34" s="513">
        <f>IF(C34=0,0,'GW-1 Exp'!$F$58*(18/C34)^0.5)</f>
        <v>1166.7667023938959</v>
      </c>
      <c r="E34" s="514">
        <f>IF(C34=0,0,'GW-1 Exp'!$G$58*(44/C34)^0.5)</f>
        <v>12.161379842101205</v>
      </c>
      <c r="F34" s="514">
        <f>IF(B34*D34=0,0,((1/E34)+(('GW-1 Exp'!$E$58*'GW-1 Exp'!$M$58)/(B34*D34)))^-1)</f>
        <v>11.38454296188538</v>
      </c>
      <c r="G34" s="514">
        <f>F34*(('GW-1 Exp'!$H$58*'GW-1 Exp'!$J$58)/('GW-1 Exp'!$N$58*'GW-1 Exp'!$I$58))^-0.5</f>
        <v>15.378220405036378</v>
      </c>
      <c r="H34" s="514">
        <f>(1-EXP((-1*G34*'GW-1 Exp'!$D$58)/(60*'GW-1 Exp'!$C$58)))</f>
        <v>0.40106808204536792</v>
      </c>
      <c r="I34" s="515">
        <f>H34*'GW-1 Exp'!$P$58/'GW-1 Exp'!$Q$58</f>
        <v>0.66844680340894647</v>
      </c>
      <c r="J34" s="516">
        <f>(('GW-1 Inhale'!$I34)/('GW-1 Exp'!$R$58))*('GW-1 Exp'!$S$48+(EXP(-1*'GW-1 Exp'!$R$58*'GW-1 Exp'!$T$48)/'GW-1 Exp'!$R$58)-(EXP('GW-1 Exp'!$R$58*('GW-1 Exp'!$S$48-'GW-1 Exp'!$T$48))/'GW-1 Exp'!$R$58))*('GW-1 Exp'!$U$48*'GW-1 Exp'!$V$48*'GW-1 Exp'!$W$48*'GW-1 Exp'!$X$48*'GW-1 Exp'!$AB$58/'GW-1 Exp'!$Y$48)</f>
        <v>0.43761326189909006</v>
      </c>
      <c r="K34" s="517">
        <f>(('GW-1 Inhale'!$I34)/('GW-1 Exp'!$R$58))*('GW-1 Exp'!$S$56+(EXP(-1*'GW-1 Exp'!$R$58*'GW-1 Exp'!$T$56)/'GW-1 Exp'!$R$58)-(EXP('GW-1 Exp'!$R$58*('GW-1 Exp'!$S$56-'GW-1 Exp'!$T$56))/'GW-1 Exp'!$R$58))*('GW-1 Exp'!$U$56*'GW-1 Exp'!$V$56*'GW-1 Exp'!$W$56*'GW-1 Exp'!$X$56*'GW-1 Exp'!$AB$58/'GW-1 Exp'!$Y$56)</f>
        <v>0.32151933191824411</v>
      </c>
      <c r="L34" s="517">
        <f xml:space="preserve"> IF(VLOOKUP(A34,[1]!TOX,36,FALSE)="M",((((('GW-1 Inhale'!$I34)/('GW-1 Exp'!$R$63))*('GW-1 Exp'!$S$63+(EXP(-1*'GW-1 Exp'!$R$63*'GW-1 Exp'!$T$63)/'GW-1 Exp'!$R$63)-(EXP('GW-1 Exp'!$R$63*('GW-1 Exp'!$S$63-'GW-1 Exp'!$T$63))/'GW-1 Exp'!$R$63))*('GW-1 Exp'!$U$63*'GW-1 Exp'!$V$63*'GW-1 Exp'!$W$63*'GW-1 Exp'!$X$63*'GW-1 Exp'!$AB$63/'GW-1 Exp'!$Y$63)*10))+(((('GW-1 Inhale'!$I34)/('GW-1 Exp'!$R$64))*('GW-1 Exp'!$S$64+(EXP(-1*'GW-1 Exp'!$R$64*'GW-1 Exp'!$T$64)/'GW-1 Exp'!$R$64)-(EXP('GW-1 Exp'!$R$64*('GW-1 Exp'!$S$64-'GW-1 Exp'!$T$64))/'GW-1 Exp'!$R$64))*('GW-1 Exp'!$U$64*'GW-1 Exp'!$V$64*'GW-1 Exp'!$W$64*'GW-1 Exp'!$X$64*'GW-1 Exp'!$AB$64/'GW-1 Exp'!$Y$64))*3)+(((('GW-1 Inhale'!$I34)/('GW-1 Exp'!$R$65))*('GW-1 Exp'!$S$65+(EXP(-1*'GW-1 Exp'!$R$65*'GW-1 Exp'!$T$65)/'GW-1 Exp'!$R$65)-(EXP('GW-1 Exp'!$R$65*('GW-1 Exp'!$S$65-'GW-1 Exp'!$T$65))/'GW-1 Exp'!$R$65))*('GW-1 Exp'!$U$65*'GW-1 Exp'!$V$65*'GW-1 Exp'!$W$65*'GW-1 Exp'!$X$65*'GW-1 Exp'!$AB$65/'GW-1 Exp'!$Y$65))*3)+(((('GW-1 Inhale'!$I34)/('GW-1 Exp'!$R$66))*('GW-1 Exp'!$S$66+(EXP(-1*'GW-1 Exp'!$R$66*'GW-1 Exp'!$T$66)/'GW-1 Exp'!$R$66)-(EXP('GW-1 Exp'!$R$66*('GW-1 Exp'!$S$66-'GW-1 Exp'!$T$66))/'GW-1 Exp'!$R$66))*('GW-1 Exp'!$U$66*'GW-1 Exp'!$V$66*'GW-1 Exp'!$W$66*'GW-1 Exp'!$X$66*'GW-1 Exp'!$AB$66/'GW-1 Exp'!$Y$66))*1)),0)</f>
        <v>0</v>
      </c>
      <c r="M34" s="518">
        <f>IF(OR((VLOOKUP(A34,[1]!TOX,8,FALSE))=0,J34=0),0,'[1]Target Risk'!$D$8*(VLOOKUP(A34,[1]!TOX,8,FALSE))*'GW-1 Exp'!$Z$58/(VLOOKUP(A34,DWInhale,10,FALSE)))</f>
        <v>301.63619682631577</v>
      </c>
      <c r="N34" s="519">
        <f>IF(OR(K34=0,(VLOOKUP(A34,[1]!TOX,15,FALSE))=0),0,IF(VLOOKUP(A34,[1]!TOX,36,FALSE)="M",'[1]Target Risk'!$D$12/((VLOOKUP(A34,[1]!TOX,15,FALSE))*(VLOOKUP(A34,DWInhale,12,FALSE))), '[1]Target Risk'!$D$12/((VLOOKUP(A34,[1]!TOX,15,FALSE))*(VLOOKUP(A34,DWInhale,11,FALSE)))))</f>
        <v>0.13522751683441808</v>
      </c>
      <c r="O34" s="520">
        <f>IF(OR(VLOOKUP(A34,[1]!TOX,15,FALSE)=0, NOT(VLOOKUP(A34,[1]!TOX,36,FALSE)="M")),0,'[1]Target Risk'!$D$12/(VLOOKUP(A34,[1]!TOX,15,FALSE)*VLOOKUP(A34,DWInhale,12,FALSE)))</f>
        <v>0</v>
      </c>
    </row>
    <row r="35" spans="1:15" x14ac:dyDescent="0.25">
      <c r="A35" s="510" t="s">
        <v>187</v>
      </c>
      <c r="B35" s="511">
        <f>(VLOOKUP(A35,[1]!TOX,54,FALSE))</f>
        <v>1.1199999999999999E-5</v>
      </c>
      <c r="C35" s="512">
        <f>(VLOOKUP(A35,[1]!TOX,57,FALSE))</f>
        <v>129</v>
      </c>
      <c r="D35" s="513">
        <f>IF(C35=0,0,'GW-1 Exp'!$F$58*(18/C35)^0.5)</f>
        <v>1120.6310514564425</v>
      </c>
      <c r="E35" s="514">
        <f>IF(C35=0,0,'GW-1 Exp'!$G$58*(44/C35)^0.5)</f>
        <v>11.680501210441776</v>
      </c>
      <c r="F35" s="514">
        <f>IF(B35*D35=0,0,((1/E35)+(('GW-1 Exp'!$E$58*'GW-1 Exp'!$M$58)/(B35*D35)))^-1)</f>
        <v>0.50003195036298287</v>
      </c>
      <c r="G35" s="514">
        <f>F35*(('GW-1 Exp'!$H$58*'GW-1 Exp'!$J$58)/('GW-1 Exp'!$N$58*'GW-1 Exp'!$I$58))^-0.5</f>
        <v>0.67544227010134583</v>
      </c>
      <c r="H35" s="514">
        <f>(1-EXP((-1*G35*'GW-1 Exp'!$D$58)/(60*'GW-1 Exp'!$C$58)))</f>
        <v>2.2263177038372439E-2</v>
      </c>
      <c r="I35" s="515">
        <f>H35*'GW-1 Exp'!$P$58/'GW-1 Exp'!$Q$58</f>
        <v>3.7105295063954068E-2</v>
      </c>
      <c r="J35" s="516">
        <f>(('GW-1 Inhale'!$I35)/('GW-1 Exp'!$R$58))*('GW-1 Exp'!$S$48+(EXP(-1*'GW-1 Exp'!$R$58*'GW-1 Exp'!$T$48)/'GW-1 Exp'!$R$58)-(EXP('GW-1 Exp'!$R$58*('GW-1 Exp'!$S$48-'GW-1 Exp'!$T$48))/'GW-1 Exp'!$R$58))*('GW-1 Exp'!$U$48*'GW-1 Exp'!$V$48*'GW-1 Exp'!$W$48*'GW-1 Exp'!$X$48*'GW-1 Exp'!$AB$58/'GW-1 Exp'!$Y$48)</f>
        <v>2.4291789748796363E-2</v>
      </c>
      <c r="K35" s="517">
        <f>(('GW-1 Inhale'!$I35)/('GW-1 Exp'!$R$58))*('GW-1 Exp'!$S$56+(EXP(-1*'GW-1 Exp'!$R$58*'GW-1 Exp'!$T$56)/'GW-1 Exp'!$R$58)-(EXP('GW-1 Exp'!$R$58*('GW-1 Exp'!$S$56-'GW-1 Exp'!$T$56))/'GW-1 Exp'!$R$58))*('GW-1 Exp'!$U$56*'GW-1 Exp'!$V$56*'GW-1 Exp'!$W$56*'GW-1 Exp'!$X$56*'GW-1 Exp'!$AB$58/'GW-1 Exp'!$Y$56)</f>
        <v>1.7847448172017333E-2</v>
      </c>
      <c r="L35" s="517">
        <f xml:space="preserve"> IF(VLOOKUP(A35,[1]!TOX,36,FALSE)="M",((((('GW-1 Inhale'!$I35)/('GW-1 Exp'!$R$63))*('GW-1 Exp'!$S$63+(EXP(-1*'GW-1 Exp'!$R$63*'GW-1 Exp'!$T$63)/'GW-1 Exp'!$R$63)-(EXP('GW-1 Exp'!$R$63*('GW-1 Exp'!$S$63-'GW-1 Exp'!$T$63))/'GW-1 Exp'!$R$63))*('GW-1 Exp'!$U$63*'GW-1 Exp'!$V$63*'GW-1 Exp'!$W$63*'GW-1 Exp'!$X$63*'GW-1 Exp'!$AB$63/'GW-1 Exp'!$Y$63)*10))+(((('GW-1 Inhale'!$I35)/('GW-1 Exp'!$R$64))*('GW-1 Exp'!$S$64+(EXP(-1*'GW-1 Exp'!$R$64*'GW-1 Exp'!$T$64)/'GW-1 Exp'!$R$64)-(EXP('GW-1 Exp'!$R$64*('GW-1 Exp'!$S$64-'GW-1 Exp'!$T$64))/'GW-1 Exp'!$R$64))*('GW-1 Exp'!$U$64*'GW-1 Exp'!$V$64*'GW-1 Exp'!$W$64*'GW-1 Exp'!$X$64*'GW-1 Exp'!$AB$64/'GW-1 Exp'!$Y$64))*3)+(((('GW-1 Inhale'!$I35)/('GW-1 Exp'!$R$65))*('GW-1 Exp'!$S$65+(EXP(-1*'GW-1 Exp'!$R$65*'GW-1 Exp'!$T$65)/'GW-1 Exp'!$R$65)-(EXP('GW-1 Exp'!$R$65*('GW-1 Exp'!$S$65-'GW-1 Exp'!$T$65))/'GW-1 Exp'!$R$65))*('GW-1 Exp'!$U$65*'GW-1 Exp'!$V$65*'GW-1 Exp'!$W$65*'GW-1 Exp'!$X$65*'GW-1 Exp'!$AB$65/'GW-1 Exp'!$Y$65))*3)+(((('GW-1 Inhale'!$I35)/('GW-1 Exp'!$R$66))*('GW-1 Exp'!$S$66+(EXP(-1*'GW-1 Exp'!$R$66*'GW-1 Exp'!$T$66)/'GW-1 Exp'!$R$66)-(EXP('GW-1 Exp'!$R$66*('GW-1 Exp'!$S$66-'GW-1 Exp'!$T$66))/'GW-1 Exp'!$R$66))*('GW-1 Exp'!$U$66*'GW-1 Exp'!$V$66*'GW-1 Exp'!$W$66*'GW-1 Exp'!$X$66*'GW-1 Exp'!$AB$66/'GW-1 Exp'!$Y$66))*1)),0)</f>
        <v>0</v>
      </c>
      <c r="M35" s="518">
        <f>IF(OR((VLOOKUP(A35,[1]!TOX,8,FALSE))=0,J35=0),0,'[1]Target Risk'!$D$8*(VLOOKUP(A35,[1]!TOX,8,FALSE))*'GW-1 Exp'!$Z$58/(VLOOKUP(A35,DWInhale,10,FALSE)))</f>
        <v>148.19821994294912</v>
      </c>
      <c r="N35" s="519">
        <f>IF(OR(K35=0,(VLOOKUP(A35,[1]!TOX,15,FALSE))=0),0,IF(VLOOKUP(A35,[1]!TOX,36,FALSE)="M",'[1]Target Risk'!$D$12/((VLOOKUP(A35,[1]!TOX,15,FALSE))*(VLOOKUP(A35,DWInhale,12,FALSE))), '[1]Target Risk'!$D$12/((VLOOKUP(A35,[1]!TOX,15,FALSE))*(VLOOKUP(A35,DWInhale,11,FALSE)))))</f>
        <v>0</v>
      </c>
      <c r="O35" s="520">
        <f>IF(OR(VLOOKUP(A35,[1]!TOX,15,FALSE)=0, NOT(VLOOKUP(A35,[1]!TOX,36,FALSE)="M")),0,'[1]Target Risk'!$D$12/(VLOOKUP(A35,[1]!TOX,15,FALSE)*VLOOKUP(A35,DWInhale,12,FALSE)))</f>
        <v>0</v>
      </c>
    </row>
    <row r="36" spans="1:15" x14ac:dyDescent="0.25">
      <c r="A36" s="510" t="s">
        <v>188</v>
      </c>
      <c r="B36" s="511">
        <f>(VLOOKUP(A36,[1]!TOX,54,FALSE))</f>
        <v>0</v>
      </c>
      <c r="C36" s="512">
        <f>(VLOOKUP(A36,[1]!TOX,57,FALSE))</f>
        <v>52</v>
      </c>
      <c r="D36" s="513">
        <f>IF(C36=0,0,'GW-1 Exp'!$F$58*(18/C36)^0.5)</f>
        <v>1765.0452162436563</v>
      </c>
      <c r="E36" s="514">
        <f>IF(C36=0,0,'GW-1 Exp'!$G$58*(44/C36)^0.5)</f>
        <v>18.397324220155998</v>
      </c>
      <c r="F36" s="514">
        <f>IF(B36*D36=0,0,((1/E36)+(('GW-1 Exp'!$E$58*'GW-1 Exp'!$M$58)/(B36*D36)))^-1)</f>
        <v>0</v>
      </c>
      <c r="G36" s="514">
        <f>F36*(('GW-1 Exp'!$H$58*'GW-1 Exp'!$J$58)/('GW-1 Exp'!$N$58*'GW-1 Exp'!$I$58))^-0.5</f>
        <v>0</v>
      </c>
      <c r="H36" s="514">
        <f>(1-EXP((-1*G36*'GW-1 Exp'!$D$58)/(60*'GW-1 Exp'!$C$58)))</f>
        <v>0</v>
      </c>
      <c r="I36" s="515">
        <f>H36*'GW-1 Exp'!$P$58/'GW-1 Exp'!$Q$58</f>
        <v>0</v>
      </c>
      <c r="J36" s="516">
        <f>(('GW-1 Inhale'!$I36)/('GW-1 Exp'!$R$58))*('GW-1 Exp'!$S$48+(EXP(-1*'GW-1 Exp'!$R$58*'GW-1 Exp'!$T$48)/'GW-1 Exp'!$R$58)-(EXP('GW-1 Exp'!$R$58*('GW-1 Exp'!$S$48-'GW-1 Exp'!$T$48))/'GW-1 Exp'!$R$58))*('GW-1 Exp'!$U$48*'GW-1 Exp'!$V$48*'GW-1 Exp'!$W$48*'GW-1 Exp'!$X$48*'GW-1 Exp'!$AB$58/'GW-1 Exp'!$Y$48)</f>
        <v>0</v>
      </c>
      <c r="K36" s="517">
        <f>(('GW-1 Inhale'!$I36)/('GW-1 Exp'!$R$58))*('GW-1 Exp'!$S$56+(EXP(-1*'GW-1 Exp'!$R$58*'GW-1 Exp'!$T$56)/'GW-1 Exp'!$R$58)-(EXP('GW-1 Exp'!$R$58*('GW-1 Exp'!$S$56-'GW-1 Exp'!$T$56))/'GW-1 Exp'!$R$58))*('GW-1 Exp'!$U$56*'GW-1 Exp'!$V$56*'GW-1 Exp'!$W$56*'GW-1 Exp'!$X$56*'GW-1 Exp'!$AB$58/'GW-1 Exp'!$Y$56)</f>
        <v>0</v>
      </c>
      <c r="L36" s="517">
        <f xml:space="preserve"> IF(VLOOKUP(A36,[1]!TOX,36,FALSE)="M",((((('GW-1 Inhale'!$I36)/('GW-1 Exp'!$R$63))*('GW-1 Exp'!$S$63+(EXP(-1*'GW-1 Exp'!$R$63*'GW-1 Exp'!$T$63)/'GW-1 Exp'!$R$63)-(EXP('GW-1 Exp'!$R$63*('GW-1 Exp'!$S$63-'GW-1 Exp'!$T$63))/'GW-1 Exp'!$R$63))*('GW-1 Exp'!$U$63*'GW-1 Exp'!$V$63*'GW-1 Exp'!$W$63*'GW-1 Exp'!$X$63*'GW-1 Exp'!$AB$63/'GW-1 Exp'!$Y$63)*10))+(((('GW-1 Inhale'!$I36)/('GW-1 Exp'!$R$64))*('GW-1 Exp'!$S$64+(EXP(-1*'GW-1 Exp'!$R$64*'GW-1 Exp'!$T$64)/'GW-1 Exp'!$R$64)-(EXP('GW-1 Exp'!$R$64*('GW-1 Exp'!$S$64-'GW-1 Exp'!$T$64))/'GW-1 Exp'!$R$64))*('GW-1 Exp'!$U$64*'GW-1 Exp'!$V$64*'GW-1 Exp'!$W$64*'GW-1 Exp'!$X$64*'GW-1 Exp'!$AB$64/'GW-1 Exp'!$Y$64))*3)+(((('GW-1 Inhale'!$I36)/('GW-1 Exp'!$R$65))*('GW-1 Exp'!$S$65+(EXP(-1*'GW-1 Exp'!$R$65*'GW-1 Exp'!$T$65)/'GW-1 Exp'!$R$65)-(EXP('GW-1 Exp'!$R$65*('GW-1 Exp'!$S$65-'GW-1 Exp'!$T$65))/'GW-1 Exp'!$R$65))*('GW-1 Exp'!$U$65*'GW-1 Exp'!$V$65*'GW-1 Exp'!$W$65*'GW-1 Exp'!$X$65*'GW-1 Exp'!$AB$65/'GW-1 Exp'!$Y$65))*3)+(((('GW-1 Inhale'!$I36)/('GW-1 Exp'!$R$66))*('GW-1 Exp'!$S$66+(EXP(-1*'GW-1 Exp'!$R$66*'GW-1 Exp'!$T$66)/'GW-1 Exp'!$R$66)-(EXP('GW-1 Exp'!$R$66*('GW-1 Exp'!$S$66-'GW-1 Exp'!$T$66))/'GW-1 Exp'!$R$66))*('GW-1 Exp'!$U$66*'GW-1 Exp'!$V$66*'GW-1 Exp'!$W$66*'GW-1 Exp'!$X$66*'GW-1 Exp'!$AB$66/'GW-1 Exp'!$Y$66))*1)),0)</f>
        <v>0</v>
      </c>
      <c r="M36" s="518">
        <f>IF(OR((VLOOKUP(A36,[1]!TOX,8,FALSE))=0,J36=0),0,'[1]Target Risk'!$D$8*(VLOOKUP(A36,[1]!TOX,8,FALSE))*'GW-1 Exp'!$Z$58/(VLOOKUP(A36,DWInhale,10,FALSE)))</f>
        <v>0</v>
      </c>
      <c r="N36" s="519">
        <f>IF(OR(K36=0,(VLOOKUP(A36,[1]!TOX,15,FALSE))=0),0,IF(VLOOKUP(A36,[1]!TOX,36,FALSE)="M",'[1]Target Risk'!$D$12/((VLOOKUP(A36,[1]!TOX,15,FALSE))*(VLOOKUP(A36,DWInhale,12,FALSE))), '[1]Target Risk'!$D$12/((VLOOKUP(A36,[1]!TOX,15,FALSE))*(VLOOKUP(A36,DWInhale,11,FALSE)))))</f>
        <v>0</v>
      </c>
      <c r="O36" s="520">
        <f>IF(OR(VLOOKUP(A36,[1]!TOX,15,FALSE)=0, NOT(VLOOKUP(A36,[1]!TOX,36,FALSE)="M")),0,'[1]Target Risk'!$D$12/(VLOOKUP(A36,[1]!TOX,15,FALSE)*VLOOKUP(A36,DWInhale,12,FALSE)))</f>
        <v>0</v>
      </c>
    </row>
    <row r="37" spans="1:15" x14ac:dyDescent="0.25">
      <c r="A37" s="510" t="s">
        <v>189</v>
      </c>
      <c r="B37" s="511">
        <f>(VLOOKUP(A37,[1]!TOX,54,FALSE))</f>
        <v>0</v>
      </c>
      <c r="C37" s="512">
        <f>(VLOOKUP(A37,[1]!TOX,57,FALSE))</f>
        <v>52</v>
      </c>
      <c r="D37" s="513">
        <f>IF(C37=0,0,'GW-1 Exp'!$F$58*(18/C37)^0.5)</f>
        <v>1765.0452162436563</v>
      </c>
      <c r="E37" s="514">
        <f>IF(C37=0,0,'GW-1 Exp'!$G$58*(44/C37)^0.5)</f>
        <v>18.397324220155998</v>
      </c>
      <c r="F37" s="514">
        <f>IF(B37*D37=0,0,((1/E37)+(('GW-1 Exp'!$E$58*'GW-1 Exp'!$M$58)/(B37*D37)))^-1)</f>
        <v>0</v>
      </c>
      <c r="G37" s="514">
        <f>F37*(('GW-1 Exp'!$H$58*'GW-1 Exp'!$J$58)/('GW-1 Exp'!$N$58*'GW-1 Exp'!$I$58))^-0.5</f>
        <v>0</v>
      </c>
      <c r="H37" s="514">
        <f>(1-EXP((-1*G37*'GW-1 Exp'!$D$58)/(60*'GW-1 Exp'!$C$58)))</f>
        <v>0</v>
      </c>
      <c r="I37" s="515">
        <f>H37*'GW-1 Exp'!$P$58/'GW-1 Exp'!$Q$58</f>
        <v>0</v>
      </c>
      <c r="J37" s="516">
        <f>(('GW-1 Inhale'!$I37)/('GW-1 Exp'!$R$58))*('GW-1 Exp'!$S$48+(EXP(-1*'GW-1 Exp'!$R$58*'GW-1 Exp'!$T$48)/'GW-1 Exp'!$R$58)-(EXP('GW-1 Exp'!$R$58*('GW-1 Exp'!$S$48-'GW-1 Exp'!$T$48))/'GW-1 Exp'!$R$58))*('GW-1 Exp'!$U$48*'GW-1 Exp'!$V$48*'GW-1 Exp'!$W$48*'GW-1 Exp'!$X$48*'GW-1 Exp'!$AB$58/'GW-1 Exp'!$Y$48)</f>
        <v>0</v>
      </c>
      <c r="K37" s="517">
        <f>(('GW-1 Inhale'!$I37)/('GW-1 Exp'!$R$58))*('GW-1 Exp'!$S$56+(EXP(-1*'GW-1 Exp'!$R$58*'GW-1 Exp'!$T$56)/'GW-1 Exp'!$R$58)-(EXP('GW-1 Exp'!$R$58*('GW-1 Exp'!$S$56-'GW-1 Exp'!$T$56))/'GW-1 Exp'!$R$58))*('GW-1 Exp'!$U$56*'GW-1 Exp'!$V$56*'GW-1 Exp'!$W$56*'GW-1 Exp'!$X$56*'GW-1 Exp'!$AB$58/'GW-1 Exp'!$Y$56)</f>
        <v>0</v>
      </c>
      <c r="L37" s="517">
        <f xml:space="preserve"> IF(VLOOKUP(A37,[1]!TOX,36,FALSE)="M",((((('GW-1 Inhale'!$I37)/('GW-1 Exp'!$R$63))*('GW-1 Exp'!$S$63+(EXP(-1*'GW-1 Exp'!$R$63*'GW-1 Exp'!$T$63)/'GW-1 Exp'!$R$63)-(EXP('GW-1 Exp'!$R$63*('GW-1 Exp'!$S$63-'GW-1 Exp'!$T$63))/'GW-1 Exp'!$R$63))*('GW-1 Exp'!$U$63*'GW-1 Exp'!$V$63*'GW-1 Exp'!$W$63*'GW-1 Exp'!$X$63*'GW-1 Exp'!$AB$63/'GW-1 Exp'!$Y$63)*10))+(((('GW-1 Inhale'!$I37)/('GW-1 Exp'!$R$64))*('GW-1 Exp'!$S$64+(EXP(-1*'GW-1 Exp'!$R$64*'GW-1 Exp'!$T$64)/'GW-1 Exp'!$R$64)-(EXP('GW-1 Exp'!$R$64*('GW-1 Exp'!$S$64-'GW-1 Exp'!$T$64))/'GW-1 Exp'!$R$64))*('GW-1 Exp'!$U$64*'GW-1 Exp'!$V$64*'GW-1 Exp'!$W$64*'GW-1 Exp'!$X$64*'GW-1 Exp'!$AB$64/'GW-1 Exp'!$Y$64))*3)+(((('GW-1 Inhale'!$I37)/('GW-1 Exp'!$R$65))*('GW-1 Exp'!$S$65+(EXP(-1*'GW-1 Exp'!$R$65*'GW-1 Exp'!$T$65)/'GW-1 Exp'!$R$65)-(EXP('GW-1 Exp'!$R$65*('GW-1 Exp'!$S$65-'GW-1 Exp'!$T$65))/'GW-1 Exp'!$R$65))*('GW-1 Exp'!$U$65*'GW-1 Exp'!$V$65*'GW-1 Exp'!$W$65*'GW-1 Exp'!$X$65*'GW-1 Exp'!$AB$65/'GW-1 Exp'!$Y$65))*3)+(((('GW-1 Inhale'!$I37)/('GW-1 Exp'!$R$66))*('GW-1 Exp'!$S$66+(EXP(-1*'GW-1 Exp'!$R$66*'GW-1 Exp'!$T$66)/'GW-1 Exp'!$R$66)-(EXP('GW-1 Exp'!$R$66*('GW-1 Exp'!$S$66-'GW-1 Exp'!$T$66))/'GW-1 Exp'!$R$66))*('GW-1 Exp'!$U$66*'GW-1 Exp'!$V$66*'GW-1 Exp'!$W$66*'GW-1 Exp'!$X$66*'GW-1 Exp'!$AB$66/'GW-1 Exp'!$Y$66))*1)),0)</f>
        <v>0</v>
      </c>
      <c r="M37" s="518">
        <f>IF(OR((VLOOKUP(A37,[1]!TOX,8,FALSE))=0,J37=0),0,'[1]Target Risk'!$D$8*(VLOOKUP(A37,[1]!TOX,8,FALSE))*'GW-1 Exp'!$Z$58/(VLOOKUP(A37,DWInhale,10,FALSE)))</f>
        <v>0</v>
      </c>
      <c r="N37" s="519">
        <f>IF(OR(K37=0,(VLOOKUP(A37,[1]!TOX,15,FALSE))=0),0,IF(VLOOKUP(A37,[1]!TOX,36,FALSE)="M",'[1]Target Risk'!$D$12/((VLOOKUP(A37,[1]!TOX,15,FALSE))*(VLOOKUP(A37,DWInhale,12,FALSE))), '[1]Target Risk'!$D$12/((VLOOKUP(A37,[1]!TOX,15,FALSE))*(VLOOKUP(A37,DWInhale,11,FALSE)))))</f>
        <v>0</v>
      </c>
      <c r="O37" s="520">
        <f>IF(OR(VLOOKUP(A37,[1]!TOX,15,FALSE)=0, NOT(VLOOKUP(A37,[1]!TOX,36,FALSE)="M")),0,'[1]Target Risk'!$D$12/(VLOOKUP(A37,[1]!TOX,15,FALSE)*VLOOKUP(A37,DWInhale,12,FALSE)))</f>
        <v>0</v>
      </c>
    </row>
    <row r="38" spans="1:15" x14ac:dyDescent="0.25">
      <c r="A38" s="510" t="s">
        <v>190</v>
      </c>
      <c r="B38" s="511">
        <f>(VLOOKUP(A38,[1]!TOX,54,FALSE))</f>
        <v>0</v>
      </c>
      <c r="C38" s="512">
        <f>(VLOOKUP(A38,[1]!TOX,57,FALSE))</f>
        <v>52</v>
      </c>
      <c r="D38" s="513">
        <f>IF(C38=0,0,'GW-1 Exp'!$F$58*(18/C38)^0.5)</f>
        <v>1765.0452162436563</v>
      </c>
      <c r="E38" s="514">
        <f>IF(C38=0,0,'GW-1 Exp'!$G$58*(44/C38)^0.5)</f>
        <v>18.397324220155998</v>
      </c>
      <c r="F38" s="514">
        <f>IF(B38*D38=0,0,((1/E38)+(('GW-1 Exp'!$E$58*'GW-1 Exp'!$M$58)/(B38*D38)))^-1)</f>
        <v>0</v>
      </c>
      <c r="G38" s="514">
        <f>F38*(('GW-1 Exp'!$H$58*'GW-1 Exp'!$J$58)/('GW-1 Exp'!$N$58*'GW-1 Exp'!$I$58))^-0.5</f>
        <v>0</v>
      </c>
      <c r="H38" s="514">
        <f>(1-EXP((-1*G38*'GW-1 Exp'!$D$58)/(60*'GW-1 Exp'!$C$58)))</f>
        <v>0</v>
      </c>
      <c r="I38" s="515">
        <f>H38*'GW-1 Exp'!$P$58/'GW-1 Exp'!$Q$58</f>
        <v>0</v>
      </c>
      <c r="J38" s="516">
        <f>(('GW-1 Inhale'!$I38)/('GW-1 Exp'!$R$58))*('GW-1 Exp'!$S$48+(EXP(-1*'GW-1 Exp'!$R$58*'GW-1 Exp'!$T$48)/'GW-1 Exp'!$R$58)-(EXP('GW-1 Exp'!$R$58*('GW-1 Exp'!$S$48-'GW-1 Exp'!$T$48))/'GW-1 Exp'!$R$58))*('GW-1 Exp'!$U$48*'GW-1 Exp'!$V$48*'GW-1 Exp'!$W$48*'GW-1 Exp'!$X$48*'GW-1 Exp'!$AB$58/'GW-1 Exp'!$Y$48)</f>
        <v>0</v>
      </c>
      <c r="K38" s="517">
        <f>(('GW-1 Inhale'!$I38)/('GW-1 Exp'!$R$58))*('GW-1 Exp'!$S$56+(EXP(-1*'GW-1 Exp'!$R$58*'GW-1 Exp'!$T$56)/'GW-1 Exp'!$R$58)-(EXP('GW-1 Exp'!$R$58*('GW-1 Exp'!$S$56-'GW-1 Exp'!$T$56))/'GW-1 Exp'!$R$58))*('GW-1 Exp'!$U$56*'GW-1 Exp'!$V$56*'GW-1 Exp'!$W$56*'GW-1 Exp'!$X$56*'GW-1 Exp'!$AB$58/'GW-1 Exp'!$Y$56)</f>
        <v>0</v>
      </c>
      <c r="L38" s="517">
        <f xml:space="preserve"> IF(VLOOKUP(A38,[1]!TOX,36,FALSE)="M",((((('GW-1 Inhale'!$I38)/('GW-1 Exp'!$R$63))*('GW-1 Exp'!$S$63+(EXP(-1*'GW-1 Exp'!$R$63*'GW-1 Exp'!$T$63)/'GW-1 Exp'!$R$63)-(EXP('GW-1 Exp'!$R$63*('GW-1 Exp'!$S$63-'GW-1 Exp'!$T$63))/'GW-1 Exp'!$R$63))*('GW-1 Exp'!$U$63*'GW-1 Exp'!$V$63*'GW-1 Exp'!$W$63*'GW-1 Exp'!$X$63*'GW-1 Exp'!$AB$63/'GW-1 Exp'!$Y$63)*10))+(((('GW-1 Inhale'!$I38)/('GW-1 Exp'!$R$64))*('GW-1 Exp'!$S$64+(EXP(-1*'GW-1 Exp'!$R$64*'GW-1 Exp'!$T$64)/'GW-1 Exp'!$R$64)-(EXP('GW-1 Exp'!$R$64*('GW-1 Exp'!$S$64-'GW-1 Exp'!$T$64))/'GW-1 Exp'!$R$64))*('GW-1 Exp'!$U$64*'GW-1 Exp'!$V$64*'GW-1 Exp'!$W$64*'GW-1 Exp'!$X$64*'GW-1 Exp'!$AB$64/'GW-1 Exp'!$Y$64))*3)+(((('GW-1 Inhale'!$I38)/('GW-1 Exp'!$R$65))*('GW-1 Exp'!$S$65+(EXP(-1*'GW-1 Exp'!$R$65*'GW-1 Exp'!$T$65)/'GW-1 Exp'!$R$65)-(EXP('GW-1 Exp'!$R$65*('GW-1 Exp'!$S$65-'GW-1 Exp'!$T$65))/'GW-1 Exp'!$R$65))*('GW-1 Exp'!$U$65*'GW-1 Exp'!$V$65*'GW-1 Exp'!$W$65*'GW-1 Exp'!$X$65*'GW-1 Exp'!$AB$65/'GW-1 Exp'!$Y$65))*3)+(((('GW-1 Inhale'!$I38)/('GW-1 Exp'!$R$66))*('GW-1 Exp'!$S$66+(EXP(-1*'GW-1 Exp'!$R$66*'GW-1 Exp'!$T$66)/'GW-1 Exp'!$R$66)-(EXP('GW-1 Exp'!$R$66*('GW-1 Exp'!$S$66-'GW-1 Exp'!$T$66))/'GW-1 Exp'!$R$66))*('GW-1 Exp'!$U$66*'GW-1 Exp'!$V$66*'GW-1 Exp'!$W$66*'GW-1 Exp'!$X$66*'GW-1 Exp'!$AB$66/'GW-1 Exp'!$Y$66))*1)),0)</f>
        <v>0</v>
      </c>
      <c r="M38" s="518">
        <f>IF(OR((VLOOKUP(A38,[1]!TOX,8,FALSE))=0,J38=0),0,'[1]Target Risk'!$D$8*(VLOOKUP(A38,[1]!TOX,8,FALSE))*'GW-1 Exp'!$Z$58/(VLOOKUP(A38,DWInhale,10,FALSE)))</f>
        <v>0</v>
      </c>
      <c r="N38" s="519">
        <f>IF(OR(K38=0,(VLOOKUP(A38,[1]!TOX,15,FALSE))=0),0,IF(VLOOKUP(A38,[1]!TOX,36,FALSE)="M",'[1]Target Risk'!$D$12/((VLOOKUP(A38,[1]!TOX,15,FALSE))*(VLOOKUP(A38,DWInhale,12,FALSE))), '[1]Target Risk'!$D$12/((VLOOKUP(A38,[1]!TOX,15,FALSE))*(VLOOKUP(A38,DWInhale,11,FALSE)))))</f>
        <v>0</v>
      </c>
      <c r="O38" s="520">
        <f>IF(OR(VLOOKUP(A38,[1]!TOX,15,FALSE)=0, NOT(VLOOKUP(A38,[1]!TOX,36,FALSE)="M")),0,'[1]Target Risk'!$D$12/(VLOOKUP(A38,[1]!TOX,15,FALSE)*VLOOKUP(A38,DWInhale,12,FALSE)))</f>
        <v>0</v>
      </c>
    </row>
    <row r="39" spans="1:15" x14ac:dyDescent="0.25">
      <c r="A39" s="510" t="s">
        <v>191</v>
      </c>
      <c r="B39" s="511">
        <f>(VLOOKUP(A39,[1]!TOX,54,FALSE))</f>
        <v>5.2299999999999999E-6</v>
      </c>
      <c r="C39" s="512">
        <f>(VLOOKUP(A39,[1]!TOX,57,FALSE))</f>
        <v>228</v>
      </c>
      <c r="D39" s="513">
        <f>IF(C39=0,0,'GW-1 Exp'!$F$58*(18/C39)^0.5)</f>
        <v>842.92723042352452</v>
      </c>
      <c r="E39" s="514">
        <f>IF(C39=0,0,'GW-1 Exp'!$G$58*(44/C39)^0.5)</f>
        <v>8.7859537021395884</v>
      </c>
      <c r="F39" s="514">
        <f>IF(B39*D39=0,0,((1/E39)+(('GW-1 Exp'!$E$58*'GW-1 Exp'!$M$58)/(B39*D39)))^-1)</f>
        <v>0.17973545067839572</v>
      </c>
      <c r="G39" s="514">
        <f>F39*(('GW-1 Exp'!$H$58*'GW-1 Exp'!$J$58)/('GW-1 Exp'!$N$58*'GW-1 Exp'!$I$58))^-0.5</f>
        <v>0.24278632742523115</v>
      </c>
      <c r="H39" s="514">
        <f>(1-EXP((-1*G39*'GW-1 Exp'!$D$58)/(60*'GW-1 Exp'!$C$58)))</f>
        <v>8.0602184086838724E-3</v>
      </c>
      <c r="I39" s="515">
        <f>H39*'GW-1 Exp'!$P$58/'GW-1 Exp'!$Q$58</f>
        <v>1.3433697347806453E-2</v>
      </c>
      <c r="J39" s="516">
        <f>(('GW-1 Inhale'!$I39)/('GW-1 Exp'!$R$58))*('GW-1 Exp'!$S$48+(EXP(-1*'GW-1 Exp'!$R$58*'GW-1 Exp'!$T$48)/'GW-1 Exp'!$R$58)-(EXP('GW-1 Exp'!$R$58*('GW-1 Exp'!$S$48-'GW-1 Exp'!$T$48))/'GW-1 Exp'!$R$58))*('GW-1 Exp'!$U$48*'GW-1 Exp'!$V$48*'GW-1 Exp'!$W$48*'GW-1 Exp'!$X$48*'GW-1 Exp'!$AB$58/'GW-1 Exp'!$Y$48)</f>
        <v>8.7946626205080234E-3</v>
      </c>
      <c r="K39" s="758">
        <f>(('GW-1 Inhale'!$I39)/('GW-1 Exp'!$R$58))*('GW-1 Exp'!$S$56+(EXP(-1*'GW-1 Exp'!$R$58*'GW-1 Exp'!$T$56)/'GW-1 Exp'!$R$58)-(EXP('GW-1 Exp'!$R$58*('GW-1 Exp'!$S$56-'GW-1 Exp'!$T$56))/'GW-1 Exp'!$R$58))*('GW-1 Exp'!$U$56*'GW-1 Exp'!$V$56*'GW-1 Exp'!$W$56*'GW-1 Exp'!$X$56*'GW-1 Exp'!$AB$58/'GW-1 Exp'!$Y$56)</f>
        <v>6.4615364669732686E-3</v>
      </c>
      <c r="L39" s="517">
        <f xml:space="preserve"> IF(VLOOKUP(A39,[1]!TOX,36,FALSE)="M",((((('GW-1 Inhale'!$I39)/('GW-1 Exp'!$R$63))*('GW-1 Exp'!$S$63+(EXP(-1*'GW-1 Exp'!$R$63*'GW-1 Exp'!$T$63)/'GW-1 Exp'!$R$63)-(EXP('GW-1 Exp'!$R$63*('GW-1 Exp'!$S$63-'GW-1 Exp'!$T$63))/'GW-1 Exp'!$R$63))*('GW-1 Exp'!$U$63*'GW-1 Exp'!$V$63*'GW-1 Exp'!$W$63*'GW-1 Exp'!$X$63*'GW-1 Exp'!$AB$63/'GW-1 Exp'!$Y$63)*10))+(((('GW-1 Inhale'!$I39)/('GW-1 Exp'!$R$64))*('GW-1 Exp'!$S$64+(EXP(-1*'GW-1 Exp'!$R$64*'GW-1 Exp'!$T$64)/'GW-1 Exp'!$R$64)-(EXP('GW-1 Exp'!$R$64*('GW-1 Exp'!$S$64-'GW-1 Exp'!$T$64))/'GW-1 Exp'!$R$64))*('GW-1 Exp'!$U$64*'GW-1 Exp'!$V$64*'GW-1 Exp'!$W$64*'GW-1 Exp'!$X$64*'GW-1 Exp'!$AB$64/'GW-1 Exp'!$Y$64))*3)+(((('GW-1 Inhale'!$I39)/('GW-1 Exp'!$R$65))*('GW-1 Exp'!$S$65+(EXP(-1*'GW-1 Exp'!$R$65*'GW-1 Exp'!$T$65)/'GW-1 Exp'!$R$65)-(EXP('GW-1 Exp'!$R$65*('GW-1 Exp'!$S$65-'GW-1 Exp'!$T$65))/'GW-1 Exp'!$R$65))*('GW-1 Exp'!$U$65*'GW-1 Exp'!$V$65*'GW-1 Exp'!$W$65*'GW-1 Exp'!$X$65*'GW-1 Exp'!$AB$65/'GW-1 Exp'!$Y$65))*3)+(((('GW-1 Inhale'!$I39)/('GW-1 Exp'!$R$66))*('GW-1 Exp'!$S$66+(EXP(-1*'GW-1 Exp'!$R$66*'GW-1 Exp'!$T$66)/'GW-1 Exp'!$R$66)-(EXP('GW-1 Exp'!$R$66*('GW-1 Exp'!$S$66-'GW-1 Exp'!$T$66))/'GW-1 Exp'!$R$66))*('GW-1 Exp'!$U$66*'GW-1 Exp'!$V$66*'GW-1 Exp'!$W$66*'GW-1 Exp'!$X$66*'GW-1 Exp'!$AB$66/'GW-1 Exp'!$Y$66))*1)),0)</f>
        <v>1.3611787546000981E-2</v>
      </c>
      <c r="M39" s="518">
        <f>IF(OR((VLOOKUP(A39,[1]!TOX,8,FALSE))=0,J39=0),0,'[1]Target Risk'!$D$8*(VLOOKUP(A39,[1]!TOX,8,FALSE))*'GW-1 Exp'!$Z$58/(VLOOKUP(A39,DWInhale,10,FALSE)))</f>
        <v>1137.053282371661</v>
      </c>
      <c r="N39" s="519">
        <f>IF(OR(K39=0,(VLOOKUP(A39,[1]!TOX,15,FALSE))=0),0,IF(VLOOKUP(A39,[1]!TOX,36,FALSE)="M",'[1]Target Risk'!$D$12/((VLOOKUP(A39,[1]!TOX,15,FALSE))*(VLOOKUP(A39,DWInhale,12,FALSE))), '[1]Target Risk'!$D$12/((VLOOKUP(A39,[1]!TOX,15,FALSE))*(VLOOKUP(A39,DWInhale,11,FALSE)))))</f>
        <v>122.44289451581385</v>
      </c>
      <c r="O39" s="520">
        <f>IF(OR(VLOOKUP(A39,[1]!TOX,15,FALSE)=0, NOT(VLOOKUP(A39,[1]!TOX,36,FALSE)="M")),0,'[1]Target Risk'!$D$12/(VLOOKUP(A39,[1]!TOX,15,FALSE)*VLOOKUP(A39,DWInhale,12,FALSE)))</f>
        <v>122.44289451581385</v>
      </c>
    </row>
    <row r="40" spans="1:15" x14ac:dyDescent="0.25">
      <c r="A40" s="510" t="s">
        <v>282</v>
      </c>
      <c r="B40" s="511">
        <f>(VLOOKUP(A40,[1]!TOX,54,FALSE))</f>
        <v>2.4199999999999999E-2</v>
      </c>
      <c r="C40" s="512">
        <f>(VLOOKUP(A40,[1]!TOX,57,FALSE))</f>
        <v>27</v>
      </c>
      <c r="D40" s="513">
        <f>IF(C40=0,0,'GW-1 Exp'!$F$58*(18/C40)^0.5)</f>
        <v>2449.4897427831779</v>
      </c>
      <c r="E40" s="514">
        <f>IF(C40=0,0,'GW-1 Exp'!$G$58*(44/C40)^0.5)</f>
        <v>25.531389540169016</v>
      </c>
      <c r="F40" s="514">
        <f>IF(B40*D40=0,0,((1/E40)+(('GW-1 Exp'!$E$58*'GW-1 Exp'!$M$58)/(B40*D40)))^-1)</f>
        <v>25.269891576120887</v>
      </c>
      <c r="G40" s="514">
        <f>F40*(('GW-1 Exp'!$H$58*'GW-1 Exp'!$J$58)/('GW-1 Exp'!$N$58*'GW-1 Exp'!$I$58))^-0.5</f>
        <v>34.134524641874826</v>
      </c>
      <c r="H40" s="514">
        <f>(1-EXP((-1*G40*'GW-1 Exp'!$D$58)/(60*'GW-1 Exp'!$C$58)))</f>
        <v>0.67948220708998863</v>
      </c>
      <c r="I40" s="515">
        <f>H40*'GW-1 Exp'!$P$58/'GW-1 Exp'!$Q$58</f>
        <v>1.1324703451499811</v>
      </c>
      <c r="J40" s="516">
        <f>(('GW-1 Inhale'!$I40)/('GW-1 Exp'!$R$58))*('GW-1 Exp'!$S$48+(EXP(-1*'GW-1 Exp'!$R$58*'GW-1 Exp'!$T$48)/'GW-1 Exp'!$R$58)-(EXP('GW-1 Exp'!$R$58*('GW-1 Exp'!$S$48-'GW-1 Exp'!$T$48))/'GW-1 Exp'!$R$58))*('GW-1 Exp'!$U$48*'GW-1 Exp'!$V$48*'GW-1 Exp'!$W$48*'GW-1 Exp'!$X$48*'GW-1 Exp'!$AB$58/'GW-1 Exp'!$Y$48)</f>
        <v>0.74139638220676796</v>
      </c>
      <c r="K40" s="517">
        <f>(('GW-1 Inhale'!$I40)/('GW-1 Exp'!$R$58))*('GW-1 Exp'!$S$56+(EXP(-1*'GW-1 Exp'!$R$58*'GW-1 Exp'!$T$56)/'GW-1 Exp'!$R$58)-(EXP('GW-1 Exp'!$R$58*('GW-1 Exp'!$S$56-'GW-1 Exp'!$T$56))/'GW-1 Exp'!$R$58))*('GW-1 Exp'!$U$56*'GW-1 Exp'!$V$56*'GW-1 Exp'!$W$56*'GW-1 Exp'!$X$56*'GW-1 Exp'!$AB$58/'GW-1 Exp'!$Y$56)</f>
        <v>0.54471216996319016</v>
      </c>
      <c r="L40" s="517">
        <f xml:space="preserve"> IF(VLOOKUP(A40,[1]!TOX,36,FALSE)="M",((((('GW-1 Inhale'!$I40)/('GW-1 Exp'!$R$63))*('GW-1 Exp'!$S$63+(EXP(-1*'GW-1 Exp'!$R$63*'GW-1 Exp'!$T$63)/'GW-1 Exp'!$R$63)-(EXP('GW-1 Exp'!$R$63*('GW-1 Exp'!$S$63-'GW-1 Exp'!$T$63))/'GW-1 Exp'!$R$63))*('GW-1 Exp'!$U$63*'GW-1 Exp'!$V$63*'GW-1 Exp'!$W$63*'GW-1 Exp'!$X$63*'GW-1 Exp'!$AB$63/'GW-1 Exp'!$Y$63)*10))+(((('GW-1 Inhale'!$I40)/('GW-1 Exp'!$R$64))*('GW-1 Exp'!$S$64+(EXP(-1*'GW-1 Exp'!$R$64*'GW-1 Exp'!$T$64)/'GW-1 Exp'!$R$64)-(EXP('GW-1 Exp'!$R$64*('GW-1 Exp'!$S$64-'GW-1 Exp'!$T$64))/'GW-1 Exp'!$R$64))*('GW-1 Exp'!$U$64*'GW-1 Exp'!$V$64*'GW-1 Exp'!$W$64*'GW-1 Exp'!$X$64*'GW-1 Exp'!$AB$64/'GW-1 Exp'!$Y$64))*3)+(((('GW-1 Inhale'!$I40)/('GW-1 Exp'!$R$65))*('GW-1 Exp'!$S$65+(EXP(-1*'GW-1 Exp'!$R$65*'GW-1 Exp'!$T$65)/'GW-1 Exp'!$R$65)-(EXP('GW-1 Exp'!$R$65*('GW-1 Exp'!$S$65-'GW-1 Exp'!$T$65))/'GW-1 Exp'!$R$65))*('GW-1 Exp'!$U$65*'GW-1 Exp'!$V$65*'GW-1 Exp'!$W$65*'GW-1 Exp'!$X$65*'GW-1 Exp'!$AB$65/'GW-1 Exp'!$Y$65))*3)+(((('GW-1 Inhale'!$I40)/('GW-1 Exp'!$R$66))*('GW-1 Exp'!$S$66+(EXP(-1*'GW-1 Exp'!$R$66*'GW-1 Exp'!$T$66)/'GW-1 Exp'!$R$66)-(EXP('GW-1 Exp'!$R$66*('GW-1 Exp'!$S$66-'GW-1 Exp'!$T$66))/'GW-1 Exp'!$R$66))*('GW-1 Exp'!$U$66*'GW-1 Exp'!$V$66*'GW-1 Exp'!$W$66*'GW-1 Exp'!$X$66*'GW-1 Exp'!$AB$66/'GW-1 Exp'!$Y$66))*1)),0)</f>
        <v>0</v>
      </c>
      <c r="M40" s="518">
        <f>IF(OR((VLOOKUP(A40,[1]!TOX,8,FALSE))=0,J40=0),0,'[1]Target Risk'!$D$8*(VLOOKUP(A40,[1]!TOX,8,FALSE))*'GW-1 Exp'!$Z$58/(VLOOKUP(A40,DWInhale,10,FALSE)))</f>
        <v>0.21580898401980281</v>
      </c>
      <c r="N40" s="519">
        <f>IF(OR(K40=0,(VLOOKUP(A40,[1]!TOX,15,FALSE))=0),0,IF(VLOOKUP(A40,[1]!TOX,36,FALSE)="M",'[1]Target Risk'!$D$12/((VLOOKUP(A40,[1]!TOX,15,FALSE))*(VLOOKUP(A40,DWInhale,12,FALSE))), '[1]Target Risk'!$D$12/((VLOOKUP(A40,[1]!TOX,15,FALSE))*(VLOOKUP(A40,DWInhale,11,FALSE)))))</f>
        <v>0</v>
      </c>
      <c r="O40" s="520">
        <f>IF(OR(VLOOKUP(A40,[1]!TOX,15,FALSE)=0, NOT(VLOOKUP(A40,[1]!TOX,36,FALSE)="M")),0,'[1]Target Risk'!$D$12/(VLOOKUP(A40,[1]!TOX,15,FALSE)*VLOOKUP(A40,DWInhale,12,FALSE)))</f>
        <v>0</v>
      </c>
    </row>
    <row r="41" spans="1:15" x14ac:dyDescent="0.25">
      <c r="A41" s="510" t="s">
        <v>192</v>
      </c>
      <c r="B41" s="511">
        <f>(VLOOKUP(A41,[1]!TOX,54,FALSE))</f>
        <v>1.23E-7</v>
      </c>
      <c r="C41" s="512">
        <f>(VLOOKUP(A41,[1]!TOX,57,FALSE))</f>
        <v>278</v>
      </c>
      <c r="D41" s="513">
        <f>IF(C41=0,0,'GW-1 Exp'!$F$58*(18/C41)^0.5)</f>
        <v>763.37003671197374</v>
      </c>
      <c r="E41" s="514">
        <f>IF(C41=0,0,'GW-1 Exp'!$G$58*(44/C41)^0.5)</f>
        <v>7.9567174461574037</v>
      </c>
      <c r="F41" s="514">
        <f>IF(B41*D41=0,0,((1/E41)+(('GW-1 Exp'!$E$58*'GW-1 Exp'!$M$58)/(B41*D41)))^-1)</f>
        <v>3.906119193058439E-3</v>
      </c>
      <c r="G41" s="514">
        <f>F41*(('GW-1 Exp'!$H$58*'GW-1 Exp'!$J$58)/('GW-1 Exp'!$N$58*'GW-1 Exp'!$I$58))^-0.5</f>
        <v>5.2763788656516736E-3</v>
      </c>
      <c r="H41" s="514">
        <f>(1-EXP((-1*G41*'GW-1 Exp'!$D$58)/(60*'GW-1 Exp'!$C$58)))</f>
        <v>1.7586382966516823E-4</v>
      </c>
      <c r="I41" s="515">
        <f>H41*'GW-1 Exp'!$P$58/'GW-1 Exp'!$Q$58</f>
        <v>2.9310638277528039E-4</v>
      </c>
      <c r="J41" s="516">
        <f>(('GW-1 Inhale'!$I41)/('GW-1 Exp'!$R$58))*('GW-1 Exp'!$S$48+(EXP(-1*'GW-1 Exp'!$R$58*'GW-1 Exp'!$T$48)/'GW-1 Exp'!$R$58)-(EXP('GW-1 Exp'!$R$58*('GW-1 Exp'!$S$48-'GW-1 Exp'!$T$48))/'GW-1 Exp'!$R$58))*('GW-1 Exp'!$U$48*'GW-1 Exp'!$V$48*'GW-1 Exp'!$W$48*'GW-1 Exp'!$X$48*'GW-1 Exp'!$AB$58/'GW-1 Exp'!$Y$48)</f>
        <v>1.9188847877736292E-4</v>
      </c>
      <c r="K41" s="758">
        <f>(('GW-1 Inhale'!$I41)/('GW-1 Exp'!$R$58))*('GW-1 Exp'!$S$56+(EXP(-1*'GW-1 Exp'!$R$58*'GW-1 Exp'!$T$56)/'GW-1 Exp'!$R$58)-(EXP('GW-1 Exp'!$R$58*('GW-1 Exp'!$S$56-'GW-1 Exp'!$T$56))/'GW-1 Exp'!$R$58))*('GW-1 Exp'!$U$56*'GW-1 Exp'!$V$56*'GW-1 Exp'!$W$56*'GW-1 Exp'!$X$56*'GW-1 Exp'!$AB$58/'GW-1 Exp'!$Y$56)</f>
        <v>1.4098260009664065E-4</v>
      </c>
      <c r="L41" s="517">
        <f xml:space="preserve"> IF(VLOOKUP(A41,[1]!TOX,36,FALSE)="M",((((('GW-1 Inhale'!$I41)/('GW-1 Exp'!$R$63))*('GW-1 Exp'!$S$63+(EXP(-1*'GW-1 Exp'!$R$63*'GW-1 Exp'!$T$63)/'GW-1 Exp'!$R$63)-(EXP('GW-1 Exp'!$R$63*('GW-1 Exp'!$S$63-'GW-1 Exp'!$T$63))/'GW-1 Exp'!$R$63))*('GW-1 Exp'!$U$63*'GW-1 Exp'!$V$63*'GW-1 Exp'!$W$63*'GW-1 Exp'!$X$63*'GW-1 Exp'!$AB$63/'GW-1 Exp'!$Y$63)*10))+(((('GW-1 Inhale'!$I41)/('GW-1 Exp'!$R$64))*('GW-1 Exp'!$S$64+(EXP(-1*'GW-1 Exp'!$R$64*'GW-1 Exp'!$T$64)/'GW-1 Exp'!$R$64)-(EXP('GW-1 Exp'!$R$64*('GW-1 Exp'!$S$64-'GW-1 Exp'!$T$64))/'GW-1 Exp'!$R$64))*('GW-1 Exp'!$U$64*'GW-1 Exp'!$V$64*'GW-1 Exp'!$W$64*'GW-1 Exp'!$X$64*'GW-1 Exp'!$AB$64/'GW-1 Exp'!$Y$64))*3)+(((('GW-1 Inhale'!$I41)/('GW-1 Exp'!$R$65))*('GW-1 Exp'!$S$65+(EXP(-1*'GW-1 Exp'!$R$65*'GW-1 Exp'!$T$65)/'GW-1 Exp'!$R$65)-(EXP('GW-1 Exp'!$R$65*('GW-1 Exp'!$S$65-'GW-1 Exp'!$T$65))/'GW-1 Exp'!$R$65))*('GW-1 Exp'!$U$65*'GW-1 Exp'!$V$65*'GW-1 Exp'!$W$65*'GW-1 Exp'!$X$65*'GW-1 Exp'!$AB$65/'GW-1 Exp'!$Y$65))*3)+(((('GW-1 Inhale'!$I41)/('GW-1 Exp'!$R$66))*('GW-1 Exp'!$S$66+(EXP(-1*'GW-1 Exp'!$R$66*'GW-1 Exp'!$T$66)/'GW-1 Exp'!$R$66)-(EXP('GW-1 Exp'!$R$66*('GW-1 Exp'!$S$66-'GW-1 Exp'!$T$66))/'GW-1 Exp'!$R$66))*('GW-1 Exp'!$U$66*'GW-1 Exp'!$V$66*'GW-1 Exp'!$W$66*'GW-1 Exp'!$X$66*'GW-1 Exp'!$AB$66/'GW-1 Exp'!$Y$66))*1)),0)</f>
        <v>2.9699208694510475E-4</v>
      </c>
      <c r="M41" s="518">
        <f>IF(OR((VLOOKUP(A41,[1]!TOX,8,FALSE))=0,J41=0),0,'[1]Target Risk'!$D$8*(VLOOKUP(A41,[1]!TOX,8,FALSE))*'GW-1 Exp'!$Z$58/(VLOOKUP(A41,DWInhale,10,FALSE)))</f>
        <v>52113.602982920209</v>
      </c>
      <c r="N41" s="519">
        <f>IF(OR(K41=0,(VLOOKUP(A41,[1]!TOX,15,FALSE))=0),0,IF(VLOOKUP(A41,[1]!TOX,36,FALSE)="M",'[1]Target Risk'!$D$12/((VLOOKUP(A41,[1]!TOX,15,FALSE))*(VLOOKUP(A41,DWInhale,12,FALSE))), '[1]Target Risk'!$D$12/((VLOOKUP(A41,[1]!TOX,15,FALSE))*(VLOOKUP(A41,DWInhale,11,FALSE)))))</f>
        <v>5.6118217956922507</v>
      </c>
      <c r="O41" s="520">
        <f>IF(OR(VLOOKUP(A41,[1]!TOX,15,FALSE)=0, NOT(VLOOKUP(A41,[1]!TOX,36,FALSE)="M")),0,'[1]Target Risk'!$D$12/(VLOOKUP(A41,[1]!TOX,15,FALSE)*VLOOKUP(A41,DWInhale,12,FALSE)))</f>
        <v>5.6118217956922507</v>
      </c>
    </row>
    <row r="42" spans="1:15" x14ac:dyDescent="0.25">
      <c r="A42" s="510" t="s">
        <v>193</v>
      </c>
      <c r="B42" s="511">
        <f>(VLOOKUP(A42,[1]!TOX,54,FALSE))</f>
        <v>7.8299999999999995E-4</v>
      </c>
      <c r="C42" s="512">
        <f>(VLOOKUP(A42,[1]!TOX,57,FALSE))</f>
        <v>208</v>
      </c>
      <c r="D42" s="513">
        <f>IF(C42=0,0,'GW-1 Exp'!$F$58*(18/C42)^0.5)</f>
        <v>882.52260812182817</v>
      </c>
      <c r="E42" s="514">
        <f>IF(C42=0,0,'GW-1 Exp'!$G$58*(44/C42)^0.5)</f>
        <v>9.1986621100779988</v>
      </c>
      <c r="F42" s="514">
        <f>IF(B42*D42=0,0,((1/E42)+(('GW-1 Exp'!$E$58*'GW-1 Exp'!$M$58)/(B42*D42)))^-1)</f>
        <v>6.9695835838680757</v>
      </c>
      <c r="G42" s="514">
        <f>F42*(('GW-1 Exp'!$H$58*'GW-1 Exp'!$J$58)/('GW-1 Exp'!$N$58*'GW-1 Exp'!$I$58))^-0.5</f>
        <v>9.4145011216415764</v>
      </c>
      <c r="H42" s="514">
        <f>(1-EXP((-1*G42*'GW-1 Exp'!$D$58)/(60*'GW-1 Exp'!$C$58)))</f>
        <v>0.26934705839224193</v>
      </c>
      <c r="I42" s="515">
        <f>H42*'GW-1 Exp'!$P$58/'GW-1 Exp'!$Q$58</f>
        <v>0.44891176398706989</v>
      </c>
      <c r="J42" s="516">
        <f>(('GW-1 Inhale'!$I42)/('GW-1 Exp'!$R$58))*('GW-1 Exp'!$S$48+(EXP(-1*'GW-1 Exp'!$R$58*'GW-1 Exp'!$T$48)/'GW-1 Exp'!$R$58)-(EXP('GW-1 Exp'!$R$58*('GW-1 Exp'!$S$48-'GW-1 Exp'!$T$48))/'GW-1 Exp'!$R$58))*('GW-1 Exp'!$U$48*'GW-1 Exp'!$V$48*'GW-1 Exp'!$W$48*'GW-1 Exp'!$X$48*'GW-1 Exp'!$AB$58/'GW-1 Exp'!$Y$48)</f>
        <v>0.2938898657924629</v>
      </c>
      <c r="K42" s="517">
        <f>(('GW-1 Inhale'!$I42)/('GW-1 Exp'!$R$58))*('GW-1 Exp'!$S$56+(EXP(-1*'GW-1 Exp'!$R$58*'GW-1 Exp'!$T$56)/'GW-1 Exp'!$R$58)-(EXP('GW-1 Exp'!$R$58*('GW-1 Exp'!$S$56-'GW-1 Exp'!$T$56))/'GW-1 Exp'!$R$58))*('GW-1 Exp'!$U$56*'GW-1 Exp'!$V$56*'GW-1 Exp'!$W$56*'GW-1 Exp'!$X$56*'GW-1 Exp'!$AB$58/'GW-1 Exp'!$Y$56)</f>
        <v>0.21592415389121364</v>
      </c>
      <c r="L42" s="517">
        <f xml:space="preserve"> IF(VLOOKUP(A42,[1]!TOX,36,FALSE)="M",((((('GW-1 Inhale'!$I42)/('GW-1 Exp'!$R$63))*('GW-1 Exp'!$S$63+(EXP(-1*'GW-1 Exp'!$R$63*'GW-1 Exp'!$T$63)/'GW-1 Exp'!$R$63)-(EXP('GW-1 Exp'!$R$63*('GW-1 Exp'!$S$63-'GW-1 Exp'!$T$63))/'GW-1 Exp'!$R$63))*('GW-1 Exp'!$U$63*'GW-1 Exp'!$V$63*'GW-1 Exp'!$W$63*'GW-1 Exp'!$X$63*'GW-1 Exp'!$AB$63/'GW-1 Exp'!$Y$63)*10))+(((('GW-1 Inhale'!$I42)/('GW-1 Exp'!$R$64))*('GW-1 Exp'!$S$64+(EXP(-1*'GW-1 Exp'!$R$64*'GW-1 Exp'!$T$64)/'GW-1 Exp'!$R$64)-(EXP('GW-1 Exp'!$R$64*('GW-1 Exp'!$S$64-'GW-1 Exp'!$T$64))/'GW-1 Exp'!$R$64))*('GW-1 Exp'!$U$64*'GW-1 Exp'!$V$64*'GW-1 Exp'!$W$64*'GW-1 Exp'!$X$64*'GW-1 Exp'!$AB$64/'GW-1 Exp'!$Y$64))*3)+(((('GW-1 Inhale'!$I42)/('GW-1 Exp'!$R$65))*('GW-1 Exp'!$S$65+(EXP(-1*'GW-1 Exp'!$R$65*'GW-1 Exp'!$T$65)/'GW-1 Exp'!$R$65)-(EXP('GW-1 Exp'!$R$65*('GW-1 Exp'!$S$65-'GW-1 Exp'!$T$65))/'GW-1 Exp'!$R$65))*('GW-1 Exp'!$U$65*'GW-1 Exp'!$V$65*'GW-1 Exp'!$W$65*'GW-1 Exp'!$X$65*'GW-1 Exp'!$AB$65/'GW-1 Exp'!$Y$65))*3)+(((('GW-1 Inhale'!$I42)/('GW-1 Exp'!$R$66))*('GW-1 Exp'!$S$66+(EXP(-1*'GW-1 Exp'!$R$66*'GW-1 Exp'!$T$66)/'GW-1 Exp'!$R$66)-(EXP('GW-1 Exp'!$R$66*('GW-1 Exp'!$S$66-'GW-1 Exp'!$T$66))/'GW-1 Exp'!$R$66))*('GW-1 Exp'!$U$66*'GW-1 Exp'!$V$66*'GW-1 Exp'!$W$66*'GW-1 Exp'!$X$66*'GW-1 Exp'!$AB$66/'GW-1 Exp'!$Y$66))*1)),0)</f>
        <v>0</v>
      </c>
      <c r="M42" s="518">
        <f>IF(OR((VLOOKUP(A42,[1]!TOX,8,FALSE))=0,J42=0),0,'[1]Target Risk'!$D$8*(VLOOKUP(A42,[1]!TOX,8,FALSE))*'GW-1 Exp'!$Z$58/(VLOOKUP(A42,DWInhale,10,FALSE)))</f>
        <v>47.636892691925702</v>
      </c>
      <c r="N42" s="519">
        <f>IF(OR(K42=0,(VLOOKUP(A42,[1]!TOX,15,FALSE))=0),0,IF(VLOOKUP(A42,[1]!TOX,36,FALSE)="M",'[1]Target Risk'!$D$12/((VLOOKUP(A42,[1]!TOX,15,FALSE))*(VLOOKUP(A42,DWInhale,12,FALSE))), '[1]Target Risk'!$D$12/((VLOOKUP(A42,[1]!TOX,15,FALSE))*(VLOOKUP(A42,DWInhale,11,FALSE)))))</f>
        <v>0.192968993583085</v>
      </c>
      <c r="O42" s="520">
        <f>IF(OR(VLOOKUP(A42,[1]!TOX,15,FALSE)=0, NOT(VLOOKUP(A42,[1]!TOX,36,FALSE)="M")),0,'[1]Target Risk'!$D$12/(VLOOKUP(A42,[1]!TOX,15,FALSE)*VLOOKUP(A42,DWInhale,12,FALSE)))</f>
        <v>0</v>
      </c>
    </row>
    <row r="43" spans="1:15" x14ac:dyDescent="0.25">
      <c r="A43" s="510" t="s">
        <v>194</v>
      </c>
      <c r="B43" s="511">
        <f>(VLOOKUP(A43,[1]!TOX,54,FALSE))</f>
        <v>1.92E-3</v>
      </c>
      <c r="C43" s="512">
        <f>(VLOOKUP(A43,[1]!TOX,57,FALSE))</f>
        <v>147</v>
      </c>
      <c r="D43" s="513">
        <f>IF(C43=0,0,'GW-1 Exp'!$F$58*(18/C43)^0.5)</f>
        <v>1049.7813183356477</v>
      </c>
      <c r="E43" s="514">
        <f>IF(C43=0,0,'GW-1 Exp'!$G$58*(44/C43)^0.5)</f>
        <v>10.942024088643866</v>
      </c>
      <c r="F43" s="514">
        <f>IF(B43*D43=0,0,((1/E43)+(('GW-1 Exp'!$E$58*'GW-1 Exp'!$M$58)/(B43*D43)))^-1)</f>
        <v>9.6795197456246314</v>
      </c>
      <c r="G43" s="514">
        <f>F43*(('GW-1 Exp'!$H$58*'GW-1 Exp'!$J$58)/('GW-1 Exp'!$N$58*'GW-1 Exp'!$I$58))^-0.5</f>
        <v>13.075078073970021</v>
      </c>
      <c r="H43" s="514">
        <f>(1-EXP((-1*G43*'GW-1 Exp'!$D$58)/(60*'GW-1 Exp'!$C$58)))</f>
        <v>0.35327617854100213</v>
      </c>
      <c r="I43" s="515">
        <f>H43*'GW-1 Exp'!$P$58/'GW-1 Exp'!$Q$58</f>
        <v>0.58879363090167025</v>
      </c>
      <c r="J43" s="516">
        <f>(('GW-1 Inhale'!$I43)/('GW-1 Exp'!$R$58))*('GW-1 Exp'!$S$48+(EXP(-1*'GW-1 Exp'!$R$58*'GW-1 Exp'!$T$48)/'GW-1 Exp'!$R$58)-(EXP('GW-1 Exp'!$R$58*('GW-1 Exp'!$S$48-'GW-1 Exp'!$T$48))/'GW-1 Exp'!$R$58))*('GW-1 Exp'!$U$48*'GW-1 Exp'!$V$48*'GW-1 Exp'!$W$48*'GW-1 Exp'!$X$48*'GW-1 Exp'!$AB$58/'GW-1 Exp'!$Y$48)</f>
        <v>0.38546657728072575</v>
      </c>
      <c r="K43" s="517">
        <f>(('GW-1 Inhale'!$I43)/('GW-1 Exp'!$R$58))*('GW-1 Exp'!$S$56+(EXP(-1*'GW-1 Exp'!$R$58*'GW-1 Exp'!$T$56)/'GW-1 Exp'!$R$58)-(EXP('GW-1 Exp'!$R$58*('GW-1 Exp'!$S$56-'GW-1 Exp'!$T$56))/'GW-1 Exp'!$R$58))*('GW-1 Exp'!$U$56*'GW-1 Exp'!$V$56*'GW-1 Exp'!$W$56*'GW-1 Exp'!$X$56*'GW-1 Exp'!$AB$58/'GW-1 Exp'!$Y$56)</f>
        <v>0.28320658260281317</v>
      </c>
      <c r="L43" s="517">
        <f xml:space="preserve"> IF(VLOOKUP(A43,[1]!TOX,36,FALSE)="M",((((('GW-1 Inhale'!$I43)/('GW-1 Exp'!$R$63))*('GW-1 Exp'!$S$63+(EXP(-1*'GW-1 Exp'!$R$63*'GW-1 Exp'!$T$63)/'GW-1 Exp'!$R$63)-(EXP('GW-1 Exp'!$R$63*('GW-1 Exp'!$S$63-'GW-1 Exp'!$T$63))/'GW-1 Exp'!$R$63))*('GW-1 Exp'!$U$63*'GW-1 Exp'!$V$63*'GW-1 Exp'!$W$63*'GW-1 Exp'!$X$63*'GW-1 Exp'!$AB$63/'GW-1 Exp'!$Y$63)*10))+(((('GW-1 Inhale'!$I43)/('GW-1 Exp'!$R$64))*('GW-1 Exp'!$S$64+(EXP(-1*'GW-1 Exp'!$R$64*'GW-1 Exp'!$T$64)/'GW-1 Exp'!$R$64)-(EXP('GW-1 Exp'!$R$64*('GW-1 Exp'!$S$64-'GW-1 Exp'!$T$64))/'GW-1 Exp'!$R$64))*('GW-1 Exp'!$U$64*'GW-1 Exp'!$V$64*'GW-1 Exp'!$W$64*'GW-1 Exp'!$X$64*'GW-1 Exp'!$AB$64/'GW-1 Exp'!$Y$64))*3)+(((('GW-1 Inhale'!$I43)/('GW-1 Exp'!$R$65))*('GW-1 Exp'!$S$65+(EXP(-1*'GW-1 Exp'!$R$65*'GW-1 Exp'!$T$65)/'GW-1 Exp'!$R$65)-(EXP('GW-1 Exp'!$R$65*('GW-1 Exp'!$S$65-'GW-1 Exp'!$T$65))/'GW-1 Exp'!$R$65))*('GW-1 Exp'!$U$65*'GW-1 Exp'!$V$65*'GW-1 Exp'!$W$65*'GW-1 Exp'!$X$65*'GW-1 Exp'!$AB$65/'GW-1 Exp'!$Y$65))*3)+(((('GW-1 Inhale'!$I43)/('GW-1 Exp'!$R$66))*('GW-1 Exp'!$S$66+(EXP(-1*'GW-1 Exp'!$R$66*'GW-1 Exp'!$T$66)/'GW-1 Exp'!$R$66)-(EXP('GW-1 Exp'!$R$66*('GW-1 Exp'!$S$66-'GW-1 Exp'!$T$66))/'GW-1 Exp'!$R$66))*('GW-1 Exp'!$U$66*'GW-1 Exp'!$V$66*'GW-1 Exp'!$W$66*'GW-1 Exp'!$X$66*'GW-1 Exp'!$AB$66/'GW-1 Exp'!$Y$66))*1)),0)</f>
        <v>0</v>
      </c>
      <c r="M43" s="518">
        <f>IF(OR((VLOOKUP(A43,[1]!TOX,8,FALSE))=0,J43=0),0,'[1]Target Risk'!$D$8*(VLOOKUP(A43,[1]!TOX,8,FALSE))*'GW-1 Exp'!$Z$58/(VLOOKUP(A43,DWInhale,10,FALSE)))</f>
        <v>415.08138300529231</v>
      </c>
      <c r="N43" s="519">
        <f>IF(OR(K43=0,(VLOOKUP(A43,[1]!TOX,15,FALSE))=0),0,IF(VLOOKUP(A43,[1]!TOX,36,FALSE)="M",'[1]Target Risk'!$D$12/((VLOOKUP(A43,[1]!TOX,15,FALSE))*(VLOOKUP(A43,DWInhale,12,FALSE))), '[1]Target Risk'!$D$12/((VLOOKUP(A43,[1]!TOX,15,FALSE))*(VLOOKUP(A43,DWInhale,11,FALSE)))))</f>
        <v>0</v>
      </c>
      <c r="O43" s="520">
        <f>IF(OR(VLOOKUP(A43,[1]!TOX,15,FALSE)=0, NOT(VLOOKUP(A43,[1]!TOX,36,FALSE)="M")),0,'[1]Target Risk'!$D$12/(VLOOKUP(A43,[1]!TOX,15,FALSE)*VLOOKUP(A43,DWInhale,12,FALSE)))</f>
        <v>0</v>
      </c>
    </row>
    <row r="44" spans="1:15" x14ac:dyDescent="0.25">
      <c r="A44" s="510" t="s">
        <v>195</v>
      </c>
      <c r="B44" s="511">
        <f>(VLOOKUP(A44,[1]!TOX,54,FALSE))</f>
        <v>2.63E-3</v>
      </c>
      <c r="C44" s="512">
        <f>(VLOOKUP(A44,[1]!TOX,57,FALSE))</f>
        <v>147</v>
      </c>
      <c r="D44" s="513">
        <f>IF(C44=0,0,'GW-1 Exp'!$F$58*(18/C44)^0.5)</f>
        <v>1049.7813183356477</v>
      </c>
      <c r="E44" s="514">
        <f>IF(C44=0,0,'GW-1 Exp'!$G$58*(44/C44)^0.5)</f>
        <v>10.942024088643866</v>
      </c>
      <c r="F44" s="514">
        <f>IF(B44*D44=0,0,((1/E44)+(('GW-1 Exp'!$E$58*'GW-1 Exp'!$M$58)/(B44*D44)))^-1)</f>
        <v>9.9907160496254406</v>
      </c>
      <c r="G44" s="514">
        <f>F44*(('GW-1 Exp'!$H$58*'GW-1 Exp'!$J$58)/('GW-1 Exp'!$N$58*'GW-1 Exp'!$I$58))^-0.5</f>
        <v>13.495441488485573</v>
      </c>
      <c r="H44" s="514">
        <f>(1-EXP((-1*G44*'GW-1 Exp'!$D$58)/(60*'GW-1 Exp'!$C$58)))</f>
        <v>0.36227495317441172</v>
      </c>
      <c r="I44" s="515">
        <f>H44*'GW-1 Exp'!$P$58/'GW-1 Exp'!$Q$58</f>
        <v>0.60379158862401949</v>
      </c>
      <c r="J44" s="516">
        <f>(('GW-1 Inhale'!$I44)/('GW-1 Exp'!$R$58))*('GW-1 Exp'!$S$48+(EXP(-1*'GW-1 Exp'!$R$58*'GW-1 Exp'!$T$48)/'GW-1 Exp'!$R$58)-(EXP('GW-1 Exp'!$R$58*('GW-1 Exp'!$S$48-'GW-1 Exp'!$T$48))/'GW-1 Exp'!$R$58))*('GW-1 Exp'!$U$48*'GW-1 Exp'!$V$48*'GW-1 Exp'!$W$48*'GW-1 Exp'!$X$48*'GW-1 Exp'!$AB$58/'GW-1 Exp'!$Y$48)</f>
        <v>0.3952853170326856</v>
      </c>
      <c r="K44" s="517">
        <f>(('GW-1 Inhale'!$I44)/('GW-1 Exp'!$R$58))*('GW-1 Exp'!$S$56+(EXP(-1*'GW-1 Exp'!$R$58*'GW-1 Exp'!$T$56)/'GW-1 Exp'!$R$58)-(EXP('GW-1 Exp'!$R$58*('GW-1 Exp'!$S$56-'GW-1 Exp'!$T$56))/'GW-1 Exp'!$R$58))*('GW-1 Exp'!$U$56*'GW-1 Exp'!$V$56*'GW-1 Exp'!$W$56*'GW-1 Exp'!$X$56*'GW-1 Exp'!$AB$58/'GW-1 Exp'!$Y$56)</f>
        <v>0.2904205199310132</v>
      </c>
      <c r="L44" s="517">
        <f xml:space="preserve"> IF(VLOOKUP(A44,[1]!TOX,36,FALSE)="M",((((('GW-1 Inhale'!$I44)/('GW-1 Exp'!$R$63))*('GW-1 Exp'!$S$63+(EXP(-1*'GW-1 Exp'!$R$63*'GW-1 Exp'!$T$63)/'GW-1 Exp'!$R$63)-(EXP('GW-1 Exp'!$R$63*('GW-1 Exp'!$S$63-'GW-1 Exp'!$T$63))/'GW-1 Exp'!$R$63))*('GW-1 Exp'!$U$63*'GW-1 Exp'!$V$63*'GW-1 Exp'!$W$63*'GW-1 Exp'!$X$63*'GW-1 Exp'!$AB$63/'GW-1 Exp'!$Y$63)*10))+(((('GW-1 Inhale'!$I44)/('GW-1 Exp'!$R$64))*('GW-1 Exp'!$S$64+(EXP(-1*'GW-1 Exp'!$R$64*'GW-1 Exp'!$T$64)/'GW-1 Exp'!$R$64)-(EXP('GW-1 Exp'!$R$64*('GW-1 Exp'!$S$64-'GW-1 Exp'!$T$64))/'GW-1 Exp'!$R$64))*('GW-1 Exp'!$U$64*'GW-1 Exp'!$V$64*'GW-1 Exp'!$W$64*'GW-1 Exp'!$X$64*'GW-1 Exp'!$AB$64/'GW-1 Exp'!$Y$64))*3)+(((('GW-1 Inhale'!$I44)/('GW-1 Exp'!$R$65))*('GW-1 Exp'!$S$65+(EXP(-1*'GW-1 Exp'!$R$65*'GW-1 Exp'!$T$65)/'GW-1 Exp'!$R$65)-(EXP('GW-1 Exp'!$R$65*('GW-1 Exp'!$S$65-'GW-1 Exp'!$T$65))/'GW-1 Exp'!$R$65))*('GW-1 Exp'!$U$65*'GW-1 Exp'!$V$65*'GW-1 Exp'!$W$65*'GW-1 Exp'!$X$65*'GW-1 Exp'!$AB$65/'GW-1 Exp'!$Y$65))*3)+(((('GW-1 Inhale'!$I44)/('GW-1 Exp'!$R$66))*('GW-1 Exp'!$S$66+(EXP(-1*'GW-1 Exp'!$R$66*'GW-1 Exp'!$T$66)/'GW-1 Exp'!$R$66)-(EXP('GW-1 Exp'!$R$66*('GW-1 Exp'!$S$66-'GW-1 Exp'!$T$66))/'GW-1 Exp'!$R$66))*('GW-1 Exp'!$U$66*'GW-1 Exp'!$V$66*'GW-1 Exp'!$W$66*'GW-1 Exp'!$X$66*'GW-1 Exp'!$AB$66/'GW-1 Exp'!$Y$66))*1)),0)</f>
        <v>0</v>
      </c>
      <c r="M44" s="518">
        <f>IF(OR((VLOOKUP(A44,[1]!TOX,8,FALSE))=0,J44=0),0,'[1]Target Risk'!$D$8*(VLOOKUP(A44,[1]!TOX,8,FALSE))*'GW-1 Exp'!$Z$58/(VLOOKUP(A44,DWInhale,10,FALSE)))</f>
        <v>404.77091636259752</v>
      </c>
      <c r="N44" s="519">
        <f>IF(OR(K44=0,(VLOOKUP(A44,[1]!TOX,15,FALSE))=0),0,IF(VLOOKUP(A44,[1]!TOX,36,FALSE)="M",'[1]Target Risk'!$D$12/((VLOOKUP(A44,[1]!TOX,15,FALSE))*(VLOOKUP(A44,DWInhale,12,FALSE))), '[1]Target Risk'!$D$12/((VLOOKUP(A44,[1]!TOX,15,FALSE))*(VLOOKUP(A44,DWInhale,11,FALSE)))))</f>
        <v>0</v>
      </c>
      <c r="O44" s="520">
        <f>IF(OR(VLOOKUP(A44,[1]!TOX,15,FALSE)=0, NOT(VLOOKUP(A44,[1]!TOX,36,FALSE)="M")),0,'[1]Target Risk'!$D$12/(VLOOKUP(A44,[1]!TOX,15,FALSE)*VLOOKUP(A44,DWInhale,12,FALSE)))</f>
        <v>0</v>
      </c>
    </row>
    <row r="45" spans="1:15" x14ac:dyDescent="0.25">
      <c r="A45" s="510" t="s">
        <v>196</v>
      </c>
      <c r="B45" s="511">
        <f>(VLOOKUP(A45,[1]!TOX,54,FALSE))</f>
        <v>2.4099999999999998E-3</v>
      </c>
      <c r="C45" s="512">
        <f>(VLOOKUP(A45,[1]!TOX,57,FALSE))</f>
        <v>147</v>
      </c>
      <c r="D45" s="513">
        <f>IF(C45=0,0,'GW-1 Exp'!$F$58*(18/C45)^0.5)</f>
        <v>1049.7813183356477</v>
      </c>
      <c r="E45" s="514">
        <f>IF(C45=0,0,'GW-1 Exp'!$G$58*(44/C45)^0.5)</f>
        <v>10.942024088643866</v>
      </c>
      <c r="F45" s="514">
        <f>IF(B45*D45=0,0,((1/E45)+(('GW-1 Exp'!$E$58*'GW-1 Exp'!$M$58)/(B45*D45)))^-1)</f>
        <v>9.912049050978105</v>
      </c>
      <c r="G45" s="514">
        <f>F45*(('GW-1 Exp'!$H$58*'GW-1 Exp'!$J$58)/('GW-1 Exp'!$N$58*'GW-1 Exp'!$I$58))^-0.5</f>
        <v>13.389178246487049</v>
      </c>
      <c r="H45" s="514">
        <f>(1-EXP((-1*G45*'GW-1 Exp'!$D$58)/(60*'GW-1 Exp'!$C$58)))</f>
        <v>0.36001205679596637</v>
      </c>
      <c r="I45" s="515">
        <f>H45*'GW-1 Exp'!$P$58/'GW-1 Exp'!$Q$58</f>
        <v>0.60002009465994399</v>
      </c>
      <c r="J45" s="516">
        <f>(('GW-1 Inhale'!$I45)/('GW-1 Exp'!$R$58))*('GW-1 Exp'!$S$48+(EXP(-1*'GW-1 Exp'!$R$58*'GW-1 Exp'!$T$48)/'GW-1 Exp'!$R$58)-(EXP('GW-1 Exp'!$R$58*('GW-1 Exp'!$S$48-'GW-1 Exp'!$T$48))/'GW-1 Exp'!$R$58))*('GW-1 Exp'!$U$48*'GW-1 Exp'!$V$48*'GW-1 Exp'!$W$48*'GW-1 Exp'!$X$48*'GW-1 Exp'!$AB$58/'GW-1 Exp'!$Y$48)</f>
        <v>0.39281622634748098</v>
      </c>
      <c r="K45" s="517">
        <f>(('GW-1 Inhale'!$I45)/('GW-1 Exp'!$R$58))*('GW-1 Exp'!$S$56+(EXP(-1*'GW-1 Exp'!$R$58*'GW-1 Exp'!$T$56)/'GW-1 Exp'!$R$58)-(EXP('GW-1 Exp'!$R$58*('GW-1 Exp'!$S$56-'GW-1 Exp'!$T$56))/'GW-1 Exp'!$R$58))*('GW-1 Exp'!$U$56*'GW-1 Exp'!$V$56*'GW-1 Exp'!$W$56*'GW-1 Exp'!$X$56*'GW-1 Exp'!$AB$58/'GW-1 Exp'!$Y$56)</f>
        <v>0.28860645153622222</v>
      </c>
      <c r="L45" s="517">
        <f xml:space="preserve"> IF(VLOOKUP(A45,[1]!TOX,36,FALSE)="M",((((('GW-1 Inhale'!$I45)/('GW-1 Exp'!$R$63))*('GW-1 Exp'!$S$63+(EXP(-1*'GW-1 Exp'!$R$63*'GW-1 Exp'!$T$63)/'GW-1 Exp'!$R$63)-(EXP('GW-1 Exp'!$R$63*('GW-1 Exp'!$S$63-'GW-1 Exp'!$T$63))/'GW-1 Exp'!$R$63))*('GW-1 Exp'!$U$63*'GW-1 Exp'!$V$63*'GW-1 Exp'!$W$63*'GW-1 Exp'!$X$63*'GW-1 Exp'!$AB$63/'GW-1 Exp'!$Y$63)*10))+(((('GW-1 Inhale'!$I45)/('GW-1 Exp'!$R$64))*('GW-1 Exp'!$S$64+(EXP(-1*'GW-1 Exp'!$R$64*'GW-1 Exp'!$T$64)/'GW-1 Exp'!$R$64)-(EXP('GW-1 Exp'!$R$64*('GW-1 Exp'!$S$64-'GW-1 Exp'!$T$64))/'GW-1 Exp'!$R$64))*('GW-1 Exp'!$U$64*'GW-1 Exp'!$V$64*'GW-1 Exp'!$W$64*'GW-1 Exp'!$X$64*'GW-1 Exp'!$AB$64/'GW-1 Exp'!$Y$64))*3)+(((('GW-1 Inhale'!$I45)/('GW-1 Exp'!$R$65))*('GW-1 Exp'!$S$65+(EXP(-1*'GW-1 Exp'!$R$65*'GW-1 Exp'!$T$65)/'GW-1 Exp'!$R$65)-(EXP('GW-1 Exp'!$R$65*('GW-1 Exp'!$S$65-'GW-1 Exp'!$T$65))/'GW-1 Exp'!$R$65))*('GW-1 Exp'!$U$65*'GW-1 Exp'!$V$65*'GW-1 Exp'!$W$65*'GW-1 Exp'!$X$65*'GW-1 Exp'!$AB$65/'GW-1 Exp'!$Y$65))*3)+(((('GW-1 Inhale'!$I45)/('GW-1 Exp'!$R$66))*('GW-1 Exp'!$S$66+(EXP(-1*'GW-1 Exp'!$R$66*'GW-1 Exp'!$T$66)/'GW-1 Exp'!$R$66)-(EXP('GW-1 Exp'!$R$66*('GW-1 Exp'!$S$66-'GW-1 Exp'!$T$66))/'GW-1 Exp'!$R$66))*('GW-1 Exp'!$U$66*'GW-1 Exp'!$V$66*'GW-1 Exp'!$W$66*'GW-1 Exp'!$X$66*'GW-1 Exp'!$AB$66/'GW-1 Exp'!$Y$66))*1)),0)</f>
        <v>0</v>
      </c>
      <c r="M45" s="518">
        <f>IF(OR((VLOOKUP(A45,[1]!TOX,8,FALSE))=0,J45=0),0,'[1]Target Risk'!$D$8*(VLOOKUP(A45,[1]!TOX,8,FALSE))*'GW-1 Exp'!$Z$58/(VLOOKUP(A45,DWInhale,10,FALSE)))</f>
        <v>407.31514959991944</v>
      </c>
      <c r="N45" s="519">
        <f>IF(OR(K45=0,(VLOOKUP(A45,[1]!TOX,15,FALSE))=0),0,IF(VLOOKUP(A45,[1]!TOX,36,FALSE)="M",'[1]Target Risk'!$D$12/((VLOOKUP(A45,[1]!TOX,15,FALSE))*(VLOOKUP(A45,DWInhale,12,FALSE))), '[1]Target Risk'!$D$12/((VLOOKUP(A45,[1]!TOX,15,FALSE))*(VLOOKUP(A45,DWInhale,11,FALSE)))))</f>
        <v>0.50530170949775244</v>
      </c>
      <c r="O45" s="520">
        <f>IF(OR(VLOOKUP(A45,[1]!TOX,15,FALSE)=0, NOT(VLOOKUP(A45,[1]!TOX,36,FALSE)="M")),0,'[1]Target Risk'!$D$12/(VLOOKUP(A45,[1]!TOX,15,FALSE)*VLOOKUP(A45,DWInhale,12,FALSE)))</f>
        <v>0</v>
      </c>
    </row>
    <row r="46" spans="1:15" x14ac:dyDescent="0.25">
      <c r="A46" s="510" t="s">
        <v>197</v>
      </c>
      <c r="B46" s="511">
        <f>(VLOOKUP(A46,[1]!TOX,54,FALSE))</f>
        <v>2.84E-11</v>
      </c>
      <c r="C46" s="512">
        <f>(VLOOKUP(A46,[1]!TOX,57,FALSE))</f>
        <v>253</v>
      </c>
      <c r="D46" s="513">
        <f>IF(C46=0,0,'GW-1 Exp'!$F$58*(18/C46)^0.5)</f>
        <v>800.19760405389684</v>
      </c>
      <c r="E46" s="514">
        <f>IF(C46=0,0,'GW-1 Exp'!$G$58*(44/C46)^0.5)</f>
        <v>8.3405765622829904</v>
      </c>
      <c r="F46" s="514">
        <f>IF(B46*D46=0,0,((1/E46)+(('GW-1 Exp'!$E$58*'GW-1 Exp'!$M$58)/(B46*D46)))^-1)</f>
        <v>9.4587569207934299E-7</v>
      </c>
      <c r="G46" s="514">
        <f>F46*(('GW-1 Exp'!$H$58*'GW-1 Exp'!$J$58)/('GW-1 Exp'!$N$58*'GW-1 Exp'!$I$58))^-0.5</f>
        <v>1.2776872042435978E-6</v>
      </c>
      <c r="H46" s="514">
        <f>(1-EXP((-1*G46*'GW-1 Exp'!$D$58)/(60*'GW-1 Exp'!$C$58)))</f>
        <v>4.2589572535334241E-8</v>
      </c>
      <c r="I46" s="515">
        <f>H46*'GW-1 Exp'!$P$58/'GW-1 Exp'!$Q$58</f>
        <v>7.0982620892223736E-8</v>
      </c>
      <c r="J46" s="516">
        <f>(('GW-1 Inhale'!$I46)/('GW-1 Exp'!$R$58))*('GW-1 Exp'!$S$48+(EXP(-1*'GW-1 Exp'!$R$58*'GW-1 Exp'!$T$48)/'GW-1 Exp'!$R$58)-(EXP('GW-1 Exp'!$R$58*('GW-1 Exp'!$S$48-'GW-1 Exp'!$T$48))/'GW-1 Exp'!$R$58))*('GW-1 Exp'!$U$48*'GW-1 Exp'!$V$48*'GW-1 Exp'!$W$48*'GW-1 Exp'!$X$48*'GW-1 Exp'!$AB$58/'GW-1 Exp'!$Y$48)</f>
        <v>4.6470319116461767E-8</v>
      </c>
      <c r="K46" s="517">
        <f>(('GW-1 Inhale'!$I46)/('GW-1 Exp'!$R$58))*('GW-1 Exp'!$S$56+(EXP(-1*'GW-1 Exp'!$R$58*'GW-1 Exp'!$T$56)/'GW-1 Exp'!$R$58)-(EXP('GW-1 Exp'!$R$58*('GW-1 Exp'!$S$56-'GW-1 Exp'!$T$56))/'GW-1 Exp'!$R$58))*('GW-1 Exp'!$U$56*'GW-1 Exp'!$V$56*'GW-1 Exp'!$W$56*'GW-1 Exp'!$X$56*'GW-1 Exp'!$AB$58/'GW-1 Exp'!$Y$56)</f>
        <v>3.4142260432220835E-8</v>
      </c>
      <c r="L46" s="517">
        <f xml:space="preserve"> IF(VLOOKUP(A46,[1]!TOX,36,FALSE)="M",((((('GW-1 Inhale'!$I46)/('GW-1 Exp'!$R$63))*('GW-1 Exp'!$S$63+(EXP(-1*'GW-1 Exp'!$R$63*'GW-1 Exp'!$T$63)/'GW-1 Exp'!$R$63)-(EXP('GW-1 Exp'!$R$63*('GW-1 Exp'!$S$63-'GW-1 Exp'!$T$63))/'GW-1 Exp'!$R$63))*('GW-1 Exp'!$U$63*'GW-1 Exp'!$V$63*'GW-1 Exp'!$W$63*'GW-1 Exp'!$X$63*'GW-1 Exp'!$AB$63/'GW-1 Exp'!$Y$63)*10))+(((('GW-1 Inhale'!$I46)/('GW-1 Exp'!$R$64))*('GW-1 Exp'!$S$64+(EXP(-1*'GW-1 Exp'!$R$64*'GW-1 Exp'!$T$64)/'GW-1 Exp'!$R$64)-(EXP('GW-1 Exp'!$R$64*('GW-1 Exp'!$S$64-'GW-1 Exp'!$T$64))/'GW-1 Exp'!$R$64))*('GW-1 Exp'!$U$64*'GW-1 Exp'!$V$64*'GW-1 Exp'!$W$64*'GW-1 Exp'!$X$64*'GW-1 Exp'!$AB$64/'GW-1 Exp'!$Y$64))*3)+(((('GW-1 Inhale'!$I46)/('GW-1 Exp'!$R$65))*('GW-1 Exp'!$S$65+(EXP(-1*'GW-1 Exp'!$R$65*'GW-1 Exp'!$T$65)/'GW-1 Exp'!$R$65)-(EXP('GW-1 Exp'!$R$65*('GW-1 Exp'!$S$65-'GW-1 Exp'!$T$65))/'GW-1 Exp'!$R$65))*('GW-1 Exp'!$U$65*'GW-1 Exp'!$V$65*'GW-1 Exp'!$W$65*'GW-1 Exp'!$X$65*'GW-1 Exp'!$AB$65/'GW-1 Exp'!$Y$65))*3)+(((('GW-1 Inhale'!$I46)/('GW-1 Exp'!$R$66))*('GW-1 Exp'!$S$66+(EXP(-1*'GW-1 Exp'!$R$66*'GW-1 Exp'!$T$66)/'GW-1 Exp'!$R$66)-(EXP('GW-1 Exp'!$R$66*('GW-1 Exp'!$S$66-'GW-1 Exp'!$T$66))/'GW-1 Exp'!$R$66))*('GW-1 Exp'!$U$66*'GW-1 Exp'!$V$66*'GW-1 Exp'!$W$66*'GW-1 Exp'!$X$66*'GW-1 Exp'!$AB$66/'GW-1 Exp'!$Y$66))*1)),0)</f>
        <v>0</v>
      </c>
      <c r="M46" s="518">
        <f>IF(OR((VLOOKUP(A46,[1]!TOX,8,FALSE))=0,J46=0),0,'[1]Target Risk'!$D$8*(VLOOKUP(A46,[1]!TOX,8,FALSE))*'GW-1 Exp'!$Z$58/(VLOOKUP(A46,DWInhale,10,FALSE)))</f>
        <v>0</v>
      </c>
      <c r="N46" s="519">
        <f>IF(OR(K46=0,(VLOOKUP(A46,[1]!TOX,15,FALSE))=0),0,IF(VLOOKUP(A46,[1]!TOX,36,FALSE)="M",'[1]Target Risk'!$D$12/((VLOOKUP(A46,[1]!TOX,15,FALSE))*(VLOOKUP(A46,DWInhale,12,FALSE))), '[1]Target Risk'!$D$12/((VLOOKUP(A46,[1]!TOX,15,FALSE))*(VLOOKUP(A46,DWInhale,11,FALSE)))))</f>
        <v>227805.0041009502</v>
      </c>
      <c r="O46" s="520">
        <f>IF(OR(VLOOKUP(A46,[1]!TOX,15,FALSE)=0, NOT(VLOOKUP(A46,[1]!TOX,36,FALSE)="M")),0,'[1]Target Risk'!$D$12/(VLOOKUP(A46,[1]!TOX,15,FALSE)*VLOOKUP(A46,DWInhale,12,FALSE)))</f>
        <v>0</v>
      </c>
    </row>
    <row r="47" spans="1:15" ht="20" x14ac:dyDescent="0.25">
      <c r="A47" s="510" t="s">
        <v>198</v>
      </c>
      <c r="B47" s="511">
        <f>(VLOOKUP(A47,[1]!TOX,54,FALSE))</f>
        <v>6.6000000000000003E-6</v>
      </c>
      <c r="C47" s="512">
        <f>(VLOOKUP(A47,[1]!TOX,57,FALSE))</f>
        <v>320</v>
      </c>
      <c r="D47" s="513">
        <f>IF(C47=0,0,'GW-1 Exp'!$F$58*(18/C47)^0.5)</f>
        <v>711.51247353788528</v>
      </c>
      <c r="E47" s="514">
        <f>IF(C47=0,0,'GW-1 Exp'!$G$58*(44/C47)^0.5)</f>
        <v>7.416198487095663</v>
      </c>
      <c r="F47" s="514">
        <f>IF(B47*D47=0,0,((1/E47)+(('GW-1 Exp'!$E$58*'GW-1 Exp'!$M$58)/(B47*D47)))^-1)</f>
        <v>0.1904352597993238</v>
      </c>
      <c r="G47" s="514">
        <f>F47*(('GW-1 Exp'!$H$58*'GW-1 Exp'!$J$58)/('GW-1 Exp'!$N$58*'GW-1 Exp'!$I$58))^-0.5</f>
        <v>0.25723961057452682</v>
      </c>
      <c r="H47" s="514">
        <f>(1-EXP((-1*G47*'GW-1 Exp'!$D$58)/(60*'GW-1 Exp'!$C$58)))</f>
        <v>8.5379961928288006E-3</v>
      </c>
      <c r="I47" s="515">
        <f>H47*'GW-1 Exp'!$P$58/'GW-1 Exp'!$Q$58</f>
        <v>1.4229993654714668E-2</v>
      </c>
      <c r="J47" s="516">
        <f>(('GW-1 Inhale'!$I47)/('GW-1 Exp'!$R$58))*('GW-1 Exp'!$S$48+(EXP(-1*'GW-1 Exp'!$R$58*'GW-1 Exp'!$T$48)/'GW-1 Exp'!$R$58)-(EXP('GW-1 Exp'!$R$58*('GW-1 Exp'!$S$48-'GW-1 Exp'!$T$48))/'GW-1 Exp'!$R$58))*('GW-1 Exp'!$U$48*'GW-1 Exp'!$V$48*'GW-1 Exp'!$W$48*'GW-1 Exp'!$X$48*'GW-1 Exp'!$AB$58/'GW-1 Exp'!$Y$48)</f>
        <v>9.315975345061683E-3</v>
      </c>
      <c r="K47" s="517">
        <f>(('GW-1 Inhale'!$I47)/('GW-1 Exp'!$R$58))*('GW-1 Exp'!$S$56+(EXP(-1*'GW-1 Exp'!$R$58*'GW-1 Exp'!$T$56)/'GW-1 Exp'!$R$58)-(EXP('GW-1 Exp'!$R$58*('GW-1 Exp'!$S$56-'GW-1 Exp'!$T$56))/'GW-1 Exp'!$R$58))*('GW-1 Exp'!$U$56*'GW-1 Exp'!$V$56*'GW-1 Exp'!$W$56*'GW-1 Exp'!$X$56*'GW-1 Exp'!$AB$58/'GW-1 Exp'!$Y$56)</f>
        <v>6.8445507252514427E-3</v>
      </c>
      <c r="L47" s="517">
        <f xml:space="preserve"> IF(VLOOKUP(A47,[1]!TOX,36,FALSE)="M",((((('GW-1 Inhale'!$I47)/('GW-1 Exp'!$R$63))*('GW-1 Exp'!$S$63+(EXP(-1*'GW-1 Exp'!$R$63*'GW-1 Exp'!$T$63)/'GW-1 Exp'!$R$63)-(EXP('GW-1 Exp'!$R$63*('GW-1 Exp'!$S$63-'GW-1 Exp'!$T$63))/'GW-1 Exp'!$R$63))*('GW-1 Exp'!$U$63*'GW-1 Exp'!$V$63*'GW-1 Exp'!$W$63*'GW-1 Exp'!$X$63*'GW-1 Exp'!$AB$63/'GW-1 Exp'!$Y$63)*10))+(((('GW-1 Inhale'!$I47)/('GW-1 Exp'!$R$64))*('GW-1 Exp'!$S$64+(EXP(-1*'GW-1 Exp'!$R$64*'GW-1 Exp'!$T$64)/'GW-1 Exp'!$R$64)-(EXP('GW-1 Exp'!$R$64*('GW-1 Exp'!$S$64-'GW-1 Exp'!$T$64))/'GW-1 Exp'!$R$64))*('GW-1 Exp'!$U$64*'GW-1 Exp'!$V$64*'GW-1 Exp'!$W$64*'GW-1 Exp'!$X$64*'GW-1 Exp'!$AB$64/'GW-1 Exp'!$Y$64))*3)+(((('GW-1 Inhale'!$I47)/('GW-1 Exp'!$R$65))*('GW-1 Exp'!$S$65+(EXP(-1*'GW-1 Exp'!$R$65*'GW-1 Exp'!$T$65)/'GW-1 Exp'!$R$65)-(EXP('GW-1 Exp'!$R$65*('GW-1 Exp'!$S$65-'GW-1 Exp'!$T$65))/'GW-1 Exp'!$R$65))*('GW-1 Exp'!$U$65*'GW-1 Exp'!$V$65*'GW-1 Exp'!$W$65*'GW-1 Exp'!$X$65*'GW-1 Exp'!$AB$65/'GW-1 Exp'!$Y$65))*3)+(((('GW-1 Inhale'!$I47)/('GW-1 Exp'!$R$66))*('GW-1 Exp'!$S$66+(EXP(-1*'GW-1 Exp'!$R$66*'GW-1 Exp'!$T$66)/'GW-1 Exp'!$R$66)-(EXP('GW-1 Exp'!$R$66*('GW-1 Exp'!$S$66-'GW-1 Exp'!$T$66))/'GW-1 Exp'!$R$66))*('GW-1 Exp'!$U$66*'GW-1 Exp'!$V$66*'GW-1 Exp'!$W$66*'GW-1 Exp'!$X$66*'GW-1 Exp'!$AB$66/'GW-1 Exp'!$Y$66))*1)),0)</f>
        <v>0</v>
      </c>
      <c r="M47" s="518">
        <f>IF(OR((VLOOKUP(A47,[1]!TOX,8,FALSE))=0,J47=0),0,'[1]Target Risk'!$D$8*(VLOOKUP(A47,[1]!TOX,8,FALSE))*'GW-1 Exp'!$Z$58/(VLOOKUP(A47,DWInhale,10,FALSE)))</f>
        <v>38.643296774162557</v>
      </c>
      <c r="N47" s="519">
        <f>IF(OR(K47=0,(VLOOKUP(A47,[1]!TOX,15,FALSE))=0),0,IF(VLOOKUP(A47,[1]!TOX,36,FALSE)="M",'[1]Target Risk'!$D$12/((VLOOKUP(A47,[1]!TOX,15,FALSE))*(VLOOKUP(A47,DWInhale,12,FALSE))), '[1]Target Risk'!$D$12/((VLOOKUP(A47,[1]!TOX,15,FALSE))*(VLOOKUP(A47,DWInhale,11,FALSE)))))</f>
        <v>2.1306487333830955</v>
      </c>
      <c r="O47" s="520">
        <f>IF(OR(VLOOKUP(A47,[1]!TOX,15,FALSE)=0, NOT(VLOOKUP(A47,[1]!TOX,36,FALSE)="M")),0,'[1]Target Risk'!$D$12/(VLOOKUP(A47,[1]!TOX,15,FALSE)*VLOOKUP(A47,DWInhale,12,FALSE)))</f>
        <v>0</v>
      </c>
    </row>
    <row r="48" spans="1:15" ht="20" x14ac:dyDescent="0.25">
      <c r="A48" s="510" t="s">
        <v>199</v>
      </c>
      <c r="B48" s="511">
        <f>(VLOOKUP(A48,[1]!TOX,54,FALSE))</f>
        <v>4.1600000000000002E-5</v>
      </c>
      <c r="C48" s="512">
        <f>(VLOOKUP(A48,[1]!TOX,57,FALSE))</f>
        <v>318</v>
      </c>
      <c r="D48" s="513">
        <f>IF(C48=0,0,'GW-1 Exp'!$F$58*(18/C48)^0.5)</f>
        <v>713.74642714632978</v>
      </c>
      <c r="E48" s="514">
        <f>IF(C48=0,0,'GW-1 Exp'!$G$58*(44/C48)^0.5)</f>
        <v>7.4394833120106894</v>
      </c>
      <c r="F48" s="514">
        <f>IF(B48*D48=0,0,((1/E48)+(('GW-1 Exp'!$E$58*'GW-1 Exp'!$M$58)/(B48*D48)))^-1)</f>
        <v>1.0597753842621211</v>
      </c>
      <c r="G48" s="514">
        <f>F48*(('GW-1 Exp'!$H$58*'GW-1 Exp'!$J$58)/('GW-1 Exp'!$N$58*'GW-1 Exp'!$I$58))^-0.5</f>
        <v>1.4315427060688977</v>
      </c>
      <c r="H48" s="514">
        <f>(1-EXP((-1*G48*'GW-1 Exp'!$D$58)/(60*'GW-1 Exp'!$C$58)))</f>
        <v>4.6597477291572043E-2</v>
      </c>
      <c r="I48" s="515">
        <f>H48*'GW-1 Exp'!$P$58/'GW-1 Exp'!$Q$58</f>
        <v>7.7662462152620071E-2</v>
      </c>
      <c r="J48" s="516">
        <f>(('GW-1 Inhale'!$I48)/('GW-1 Exp'!$R$58))*('GW-1 Exp'!$S$48+(EXP(-1*'GW-1 Exp'!$R$58*'GW-1 Exp'!$T$48)/'GW-1 Exp'!$R$58)-(EXP('GW-1 Exp'!$R$58*('GW-1 Exp'!$S$48-'GW-1 Exp'!$T$48))/'GW-1 Exp'!$R$58))*('GW-1 Exp'!$U$48*'GW-1 Exp'!$V$48*'GW-1 Exp'!$W$48*'GW-1 Exp'!$X$48*'GW-1 Exp'!$AB$58/'GW-1 Exp'!$Y$48)</f>
        <v>5.0843422717260653E-2</v>
      </c>
      <c r="K48" s="517">
        <f>(('GW-1 Inhale'!$I48)/('GW-1 Exp'!$R$58))*('GW-1 Exp'!$S$56+(EXP(-1*'GW-1 Exp'!$R$58*'GW-1 Exp'!$T$56)/'GW-1 Exp'!$R$58)-(EXP('GW-1 Exp'!$R$58*('GW-1 Exp'!$S$56-'GW-1 Exp'!$T$56))/'GW-1 Exp'!$R$58))*('GW-1 Exp'!$U$56*'GW-1 Exp'!$V$56*'GW-1 Exp'!$W$56*'GW-1 Exp'!$X$56*'GW-1 Exp'!$AB$58/'GW-1 Exp'!$Y$56)</f>
        <v>3.7355228298040097E-2</v>
      </c>
      <c r="L48" s="517">
        <f xml:space="preserve"> IF(VLOOKUP(A48,[1]!TOX,36,FALSE)="M",((((('GW-1 Inhale'!$I48)/('GW-1 Exp'!$R$63))*('GW-1 Exp'!$S$63+(EXP(-1*'GW-1 Exp'!$R$63*'GW-1 Exp'!$T$63)/'GW-1 Exp'!$R$63)-(EXP('GW-1 Exp'!$R$63*('GW-1 Exp'!$S$63-'GW-1 Exp'!$T$63))/'GW-1 Exp'!$R$63))*('GW-1 Exp'!$U$63*'GW-1 Exp'!$V$63*'GW-1 Exp'!$W$63*'GW-1 Exp'!$X$63*'GW-1 Exp'!$AB$63/'GW-1 Exp'!$Y$63)*10))+(((('GW-1 Inhale'!$I48)/('GW-1 Exp'!$R$64))*('GW-1 Exp'!$S$64+(EXP(-1*'GW-1 Exp'!$R$64*'GW-1 Exp'!$T$64)/'GW-1 Exp'!$R$64)-(EXP('GW-1 Exp'!$R$64*('GW-1 Exp'!$S$64-'GW-1 Exp'!$T$64))/'GW-1 Exp'!$R$64))*('GW-1 Exp'!$U$64*'GW-1 Exp'!$V$64*'GW-1 Exp'!$W$64*'GW-1 Exp'!$X$64*'GW-1 Exp'!$AB$64/'GW-1 Exp'!$Y$64))*3)+(((('GW-1 Inhale'!$I48)/('GW-1 Exp'!$R$65))*('GW-1 Exp'!$S$65+(EXP(-1*'GW-1 Exp'!$R$65*'GW-1 Exp'!$T$65)/'GW-1 Exp'!$R$65)-(EXP('GW-1 Exp'!$R$65*('GW-1 Exp'!$S$65-'GW-1 Exp'!$T$65))/'GW-1 Exp'!$R$65))*('GW-1 Exp'!$U$65*'GW-1 Exp'!$V$65*'GW-1 Exp'!$W$65*'GW-1 Exp'!$X$65*'GW-1 Exp'!$AB$65/'GW-1 Exp'!$Y$65))*3)+(((('GW-1 Inhale'!$I48)/('GW-1 Exp'!$R$66))*('GW-1 Exp'!$S$66+(EXP(-1*'GW-1 Exp'!$R$66*'GW-1 Exp'!$T$66)/'GW-1 Exp'!$R$66)-(EXP('GW-1 Exp'!$R$66*('GW-1 Exp'!$S$66-'GW-1 Exp'!$T$66))/'GW-1 Exp'!$R$66))*('GW-1 Exp'!$U$66*'GW-1 Exp'!$V$66*'GW-1 Exp'!$W$66*'GW-1 Exp'!$X$66*'GW-1 Exp'!$AB$66/'GW-1 Exp'!$Y$66))*1)),0)</f>
        <v>0</v>
      </c>
      <c r="M48" s="518">
        <f>IF(OR((VLOOKUP(A48,[1]!TOX,8,FALSE))=0,J48=0),0,'[1]Target Risk'!$D$8*(VLOOKUP(A48,[1]!TOX,8,FALSE))*'GW-1 Exp'!$Z$58/(VLOOKUP(A48,DWInhale,10,FALSE)))</f>
        <v>7.0805618654344631</v>
      </c>
      <c r="N48" s="519">
        <f>IF(OR(K48=0,(VLOOKUP(A48,[1]!TOX,15,FALSE))=0),0,IF(VLOOKUP(A48,[1]!TOX,36,FALSE)="M",'[1]Target Risk'!$D$12/((VLOOKUP(A48,[1]!TOX,15,FALSE))*(VLOOKUP(A48,DWInhale,12,FALSE))), '[1]Target Risk'!$D$12/((VLOOKUP(A48,[1]!TOX,15,FALSE))*(VLOOKUP(A48,DWInhale,11,FALSE)))))</f>
        <v>0.27557367779757136</v>
      </c>
      <c r="O48" s="520">
        <f>IF(OR(VLOOKUP(A48,[1]!TOX,15,FALSE)=0, NOT(VLOOKUP(A48,[1]!TOX,36,FALSE)="M")),0,'[1]Target Risk'!$D$12/(VLOOKUP(A48,[1]!TOX,15,FALSE)*VLOOKUP(A48,DWInhale,12,FALSE)))</f>
        <v>0</v>
      </c>
    </row>
    <row r="49" spans="1:15" ht="20" x14ac:dyDescent="0.25">
      <c r="A49" s="510" t="s">
        <v>200</v>
      </c>
      <c r="B49" s="511">
        <f>(VLOOKUP(A49,[1]!TOX,54,FALSE))</f>
        <v>8.32E-6</v>
      </c>
      <c r="C49" s="512">
        <f>(VLOOKUP(A49,[1]!TOX,57,FALSE))</f>
        <v>354</v>
      </c>
      <c r="D49" s="513">
        <f>IF(C49=0,0,'GW-1 Exp'!$F$58*(18/C49)^0.5)</f>
        <v>676.48142520254601</v>
      </c>
      <c r="E49" s="514">
        <f>IF(C49=0,0,'GW-1 Exp'!$G$58*(44/C49)^0.5)</f>
        <v>7.0510647511063027</v>
      </c>
      <c r="F49" s="514">
        <f>IF(B49*D49=0,0,((1/E49)+(('GW-1 Exp'!$E$58*'GW-1 Exp'!$M$58)/(B49*D49)))^-1)</f>
        <v>0.2267271506703219</v>
      </c>
      <c r="G49" s="514">
        <f>F49*(('GW-1 Exp'!$H$58*'GW-1 Exp'!$J$58)/('GW-1 Exp'!$N$58*'GW-1 Exp'!$I$58))^-0.5</f>
        <v>0.30626263228020534</v>
      </c>
      <c r="H49" s="514">
        <f>(1-EXP((-1*G49*'GW-1 Exp'!$D$58)/(60*'GW-1 Exp'!$C$58)))</f>
        <v>1.0156821948199113E-2</v>
      </c>
      <c r="I49" s="515">
        <f>H49*'GW-1 Exp'!$P$58/'GW-1 Exp'!$Q$58</f>
        <v>1.6928036580331856E-2</v>
      </c>
      <c r="J49" s="516">
        <f>(('GW-1 Inhale'!$I49)/('GW-1 Exp'!$R$58))*('GW-1 Exp'!$S$48+(EXP(-1*'GW-1 Exp'!$R$58*'GW-1 Exp'!$T$48)/'GW-1 Exp'!$R$58)-(EXP('GW-1 Exp'!$R$58*('GW-1 Exp'!$S$48-'GW-1 Exp'!$T$48))/'GW-1 Exp'!$R$58))*('GW-1 Exp'!$U$48*'GW-1 Exp'!$V$48*'GW-1 Exp'!$W$48*'GW-1 Exp'!$X$48*'GW-1 Exp'!$AB$58/'GW-1 Exp'!$Y$48)</f>
        <v>1.1082307922914952E-2</v>
      </c>
      <c r="K49" s="517">
        <f>(('GW-1 Inhale'!$I49)/('GW-1 Exp'!$R$58))*('GW-1 Exp'!$S$56+(EXP(-1*'GW-1 Exp'!$R$58*'GW-1 Exp'!$T$56)/'GW-1 Exp'!$R$58)-(EXP('GW-1 Exp'!$R$58*('GW-1 Exp'!$S$56-'GW-1 Exp'!$T$56))/'GW-1 Exp'!$R$58))*('GW-1 Exp'!$U$56*'GW-1 Exp'!$V$56*'GW-1 Exp'!$W$56*'GW-1 Exp'!$X$56*'GW-1 Exp'!$AB$58/'GW-1 Exp'!$Y$56)</f>
        <v>8.1422949204622546E-3</v>
      </c>
      <c r="L49" s="517">
        <f xml:space="preserve"> IF(VLOOKUP(A49,[1]!TOX,36,FALSE)="M",((((('GW-1 Inhale'!$I49)/('GW-1 Exp'!$R$63))*('GW-1 Exp'!$S$63+(EXP(-1*'GW-1 Exp'!$R$63*'GW-1 Exp'!$T$63)/'GW-1 Exp'!$R$63)-(EXP('GW-1 Exp'!$R$63*('GW-1 Exp'!$S$63-'GW-1 Exp'!$T$63))/'GW-1 Exp'!$R$63))*('GW-1 Exp'!$U$63*'GW-1 Exp'!$V$63*'GW-1 Exp'!$W$63*'GW-1 Exp'!$X$63*'GW-1 Exp'!$AB$63/'GW-1 Exp'!$Y$63)*10))+(((('GW-1 Inhale'!$I49)/('GW-1 Exp'!$R$64))*('GW-1 Exp'!$S$64+(EXP(-1*'GW-1 Exp'!$R$64*'GW-1 Exp'!$T$64)/'GW-1 Exp'!$R$64)-(EXP('GW-1 Exp'!$R$64*('GW-1 Exp'!$S$64-'GW-1 Exp'!$T$64))/'GW-1 Exp'!$R$64))*('GW-1 Exp'!$U$64*'GW-1 Exp'!$V$64*'GW-1 Exp'!$W$64*'GW-1 Exp'!$X$64*'GW-1 Exp'!$AB$64/'GW-1 Exp'!$Y$64))*3)+(((('GW-1 Inhale'!$I49)/('GW-1 Exp'!$R$65))*('GW-1 Exp'!$S$65+(EXP(-1*'GW-1 Exp'!$R$65*'GW-1 Exp'!$T$65)/'GW-1 Exp'!$R$65)-(EXP('GW-1 Exp'!$R$65*('GW-1 Exp'!$S$65-'GW-1 Exp'!$T$65))/'GW-1 Exp'!$R$65))*('GW-1 Exp'!$U$65*'GW-1 Exp'!$V$65*'GW-1 Exp'!$W$65*'GW-1 Exp'!$X$65*'GW-1 Exp'!$AB$65/'GW-1 Exp'!$Y$65))*3)+(((('GW-1 Inhale'!$I49)/('GW-1 Exp'!$R$66))*('GW-1 Exp'!$S$66+(EXP(-1*'GW-1 Exp'!$R$66*'GW-1 Exp'!$T$66)/'GW-1 Exp'!$R$66)-(EXP('GW-1 Exp'!$R$66*('GW-1 Exp'!$S$66-'GW-1 Exp'!$T$66))/'GW-1 Exp'!$R$66))*('GW-1 Exp'!$U$66*'GW-1 Exp'!$V$66*'GW-1 Exp'!$W$66*'GW-1 Exp'!$X$66*'GW-1 Exp'!$AB$66/'GW-1 Exp'!$Y$66))*1)),0)</f>
        <v>0</v>
      </c>
      <c r="M49" s="518">
        <f>IF(OR((VLOOKUP(A49,[1]!TOX,8,FALSE))=0,J49=0),0,'[1]Target Risk'!$D$8*(VLOOKUP(A49,[1]!TOX,8,FALSE))*'GW-1 Exp'!$Z$58/(VLOOKUP(A49,DWInhale,10,FALSE)))</f>
        <v>32.484208389087073</v>
      </c>
      <c r="N49" s="519">
        <f>IF(OR(K49=0,(VLOOKUP(A49,[1]!TOX,15,FALSE))=0),0,IF(VLOOKUP(A49,[1]!TOX,36,FALSE)="M",'[1]Target Risk'!$D$12/((VLOOKUP(A49,[1]!TOX,15,FALSE))*(VLOOKUP(A49,DWInhale,12,FALSE))), '[1]Target Risk'!$D$12/((VLOOKUP(A49,[1]!TOX,15,FALSE))*(VLOOKUP(A49,DWInhale,11,FALSE)))))</f>
        <v>1.2661391476507933</v>
      </c>
      <c r="O49" s="520">
        <f>IF(OR(VLOOKUP(A49,[1]!TOX,15,FALSE)=0, NOT(VLOOKUP(A49,[1]!TOX,36,FALSE)="M")),0,'[1]Target Risk'!$D$12/(VLOOKUP(A49,[1]!TOX,15,FALSE)*VLOOKUP(A49,DWInhale,12,FALSE)))</f>
        <v>0</v>
      </c>
    </row>
    <row r="50" spans="1:15" x14ac:dyDescent="0.25">
      <c r="A50" s="510" t="s">
        <v>201</v>
      </c>
      <c r="B50" s="511">
        <f>(VLOOKUP(A50,[1]!TOX,54,FALSE))</f>
        <v>5.62E-3</v>
      </c>
      <c r="C50" s="512">
        <f>(VLOOKUP(A50,[1]!TOX,57,FALSE))</f>
        <v>99</v>
      </c>
      <c r="D50" s="513">
        <f>IF(C50=0,0,'GW-1 Exp'!$F$58*(18/C50)^0.5)</f>
        <v>1279.2042981336626</v>
      </c>
      <c r="E50" s="514">
        <f>IF(C50=0,0,'GW-1 Exp'!$G$58*(44/C50)^0.5)</f>
        <v>13.333333333333332</v>
      </c>
      <c r="F50" s="514">
        <f>IF(B50*D50=0,0,((1/E50)+(('GW-1 Exp'!$E$58*'GW-1 Exp'!$M$58)/(B50*D50)))^-1)</f>
        <v>12.764546701773634</v>
      </c>
      <c r="G50" s="514">
        <f>F50*(('GW-1 Exp'!$H$58*'GW-1 Exp'!$J$58)/('GW-1 Exp'!$N$58*'GW-1 Exp'!$I$58))^-0.5</f>
        <v>17.242327004908308</v>
      </c>
      <c r="H50" s="514">
        <f>(1-EXP((-1*G50*'GW-1 Exp'!$D$58)/(60*'GW-1 Exp'!$C$58)))</f>
        <v>0.43715119172983485</v>
      </c>
      <c r="I50" s="515">
        <f>H50*'GW-1 Exp'!$P$58/'GW-1 Exp'!$Q$58</f>
        <v>0.72858531954972472</v>
      </c>
      <c r="J50" s="516">
        <f>(('GW-1 Inhale'!$I50)/('GW-1 Exp'!$R$58))*('GW-1 Exp'!$S$48+(EXP(-1*'GW-1 Exp'!$R$58*'GW-1 Exp'!$T$48)/'GW-1 Exp'!$R$58)-(EXP('GW-1 Exp'!$R$58*('GW-1 Exp'!$S$48-'GW-1 Exp'!$T$48))/'GW-1 Exp'!$R$58))*('GW-1 Exp'!$U$48*'GW-1 Exp'!$V$48*'GW-1 Exp'!$W$48*'GW-1 Exp'!$X$48*'GW-1 Exp'!$AB$58/'GW-1 Exp'!$Y$48)</f>
        <v>0.47698425160226976</v>
      </c>
      <c r="K50" s="517">
        <f>(('GW-1 Inhale'!$I50)/('GW-1 Exp'!$R$58))*('GW-1 Exp'!$S$56+(EXP(-1*'GW-1 Exp'!$R$58*'GW-1 Exp'!$T$56)/'GW-1 Exp'!$R$58)-(EXP('GW-1 Exp'!$R$58*('GW-1 Exp'!$S$56-'GW-1 Exp'!$T$56))/'GW-1 Exp'!$R$58))*('GW-1 Exp'!$U$56*'GW-1 Exp'!$V$56*'GW-1 Exp'!$W$56*'GW-1 Exp'!$X$56*'GW-1 Exp'!$AB$58/'GW-1 Exp'!$Y$56)</f>
        <v>0.35044563605124213</v>
      </c>
      <c r="L50" s="517">
        <f xml:space="preserve"> IF(VLOOKUP(A50,[1]!TOX,36,FALSE)="M",((((('GW-1 Inhale'!$I50)/('GW-1 Exp'!$R$63))*('GW-1 Exp'!$S$63+(EXP(-1*'GW-1 Exp'!$R$63*'GW-1 Exp'!$T$63)/'GW-1 Exp'!$R$63)-(EXP('GW-1 Exp'!$R$63*('GW-1 Exp'!$S$63-'GW-1 Exp'!$T$63))/'GW-1 Exp'!$R$63))*('GW-1 Exp'!$U$63*'GW-1 Exp'!$V$63*'GW-1 Exp'!$W$63*'GW-1 Exp'!$X$63*'GW-1 Exp'!$AB$63/'GW-1 Exp'!$Y$63)*10))+(((('GW-1 Inhale'!$I50)/('GW-1 Exp'!$R$64))*('GW-1 Exp'!$S$64+(EXP(-1*'GW-1 Exp'!$R$64*'GW-1 Exp'!$T$64)/'GW-1 Exp'!$R$64)-(EXP('GW-1 Exp'!$R$64*('GW-1 Exp'!$S$64-'GW-1 Exp'!$T$64))/'GW-1 Exp'!$R$64))*('GW-1 Exp'!$U$64*'GW-1 Exp'!$V$64*'GW-1 Exp'!$W$64*'GW-1 Exp'!$X$64*'GW-1 Exp'!$AB$64/'GW-1 Exp'!$Y$64))*3)+(((('GW-1 Inhale'!$I50)/('GW-1 Exp'!$R$65))*('GW-1 Exp'!$S$65+(EXP(-1*'GW-1 Exp'!$R$65*'GW-1 Exp'!$T$65)/'GW-1 Exp'!$R$65)-(EXP('GW-1 Exp'!$R$65*('GW-1 Exp'!$S$65-'GW-1 Exp'!$T$65))/'GW-1 Exp'!$R$65))*('GW-1 Exp'!$U$65*'GW-1 Exp'!$V$65*'GW-1 Exp'!$W$65*'GW-1 Exp'!$X$65*'GW-1 Exp'!$AB$65/'GW-1 Exp'!$Y$65))*3)+(((('GW-1 Inhale'!$I50)/('GW-1 Exp'!$R$66))*('GW-1 Exp'!$S$66+(EXP(-1*'GW-1 Exp'!$R$66*'GW-1 Exp'!$T$66)/'GW-1 Exp'!$R$66)-(EXP('GW-1 Exp'!$R$66*('GW-1 Exp'!$S$66-'GW-1 Exp'!$T$66))/'GW-1 Exp'!$R$66))*('GW-1 Exp'!$U$66*'GW-1 Exp'!$V$66*'GW-1 Exp'!$W$66*'GW-1 Exp'!$X$66*'GW-1 Exp'!$AB$66/'GW-1 Exp'!$Y$66))*1)),0)</f>
        <v>0</v>
      </c>
      <c r="M50" s="518">
        <f>IF(OR((VLOOKUP(A50,[1]!TOX,8,FALSE))=0,J50=0),0,'[1]Target Risk'!$D$8*(VLOOKUP(A50,[1]!TOX,8,FALSE))*'GW-1 Exp'!$Z$58/(VLOOKUP(A50,DWInhale,10,FALSE)))</f>
        <v>335.44084414219822</v>
      </c>
      <c r="N50" s="519">
        <f>IF(OR(K50=0,(VLOOKUP(A50,[1]!TOX,15,FALSE))=0),0,IF(VLOOKUP(A50,[1]!TOX,36,FALSE)="M",'[1]Target Risk'!$D$12/((VLOOKUP(A50,[1]!TOX,15,FALSE))*(VLOOKUP(A50,DWInhale,12,FALSE))), '[1]Target Risk'!$D$12/((VLOOKUP(A50,[1]!TOX,15,FALSE))*(VLOOKUP(A50,DWInhale,11,FALSE)))))</f>
        <v>0</v>
      </c>
      <c r="O50" s="520">
        <f>IF(OR(VLOOKUP(A50,[1]!TOX,15,FALSE)=0, NOT(VLOOKUP(A50,[1]!TOX,36,FALSE)="M")),0,'[1]Target Risk'!$D$12/(VLOOKUP(A50,[1]!TOX,15,FALSE)*VLOOKUP(A50,DWInhale,12,FALSE)))</f>
        <v>0</v>
      </c>
    </row>
    <row r="51" spans="1:15" x14ac:dyDescent="0.25">
      <c r="A51" s="510" t="s">
        <v>202</v>
      </c>
      <c r="B51" s="511">
        <f>(VLOOKUP(A51,[1]!TOX,54,FALSE))</f>
        <v>1.1800000000000001E-3</v>
      </c>
      <c r="C51" s="512">
        <f>(VLOOKUP(A51,[1]!TOX,57,FALSE))</f>
        <v>99</v>
      </c>
      <c r="D51" s="513">
        <f>IF(C51=0,0,'GW-1 Exp'!$F$58*(18/C51)^0.5)</f>
        <v>1279.2042981336626</v>
      </c>
      <c r="E51" s="514">
        <f>IF(C51=0,0,'GW-1 Exp'!$G$58*(44/C51)^0.5)</f>
        <v>13.333333333333332</v>
      </c>
      <c r="F51" s="514">
        <f>IF(B51*D51=0,0,((1/E51)+(('GW-1 Exp'!$E$58*'GW-1 Exp'!$M$58)/(B51*D51)))^-1)</f>
        <v>10.999050447157847</v>
      </c>
      <c r="G51" s="514">
        <f>F51*(('GW-1 Exp'!$H$58*'GW-1 Exp'!$J$58)/('GW-1 Exp'!$N$58*'GW-1 Exp'!$I$58))^-0.5</f>
        <v>14.857497801079516</v>
      </c>
      <c r="H51" s="514">
        <f>(1-EXP((-1*G51*'GW-1 Exp'!$D$58)/(60*'GW-1 Exp'!$C$58)))</f>
        <v>0.39058142171424637</v>
      </c>
      <c r="I51" s="515">
        <f>H51*'GW-1 Exp'!$P$58/'GW-1 Exp'!$Q$58</f>
        <v>0.65096903619041058</v>
      </c>
      <c r="J51" s="516">
        <f>(('GW-1 Inhale'!$I51)/('GW-1 Exp'!$R$58))*('GW-1 Exp'!$S$48+(EXP(-1*'GW-1 Exp'!$R$58*'GW-1 Exp'!$T$48)/'GW-1 Exp'!$R$58)-(EXP('GW-1 Exp'!$R$58*('GW-1 Exp'!$S$48-'GW-1 Exp'!$T$48))/'GW-1 Exp'!$R$58))*('GW-1 Exp'!$U$48*'GW-1 Exp'!$V$48*'GW-1 Exp'!$W$48*'GW-1 Exp'!$X$48*'GW-1 Exp'!$AB$58/'GW-1 Exp'!$Y$48)</f>
        <v>0.42617106083804729</v>
      </c>
      <c r="K51" s="517">
        <f>(('GW-1 Inhale'!$I51)/('GW-1 Exp'!$R$58))*('GW-1 Exp'!$S$56+(EXP(-1*'GW-1 Exp'!$R$58*'GW-1 Exp'!$T$56)/'GW-1 Exp'!$R$58)-(EXP('GW-1 Exp'!$R$58*('GW-1 Exp'!$S$56-'GW-1 Exp'!$T$56))/'GW-1 Exp'!$R$58))*('GW-1 Exp'!$U$56*'GW-1 Exp'!$V$56*'GW-1 Exp'!$W$56*'GW-1 Exp'!$X$56*'GW-1 Exp'!$AB$58/'GW-1 Exp'!$Y$56)</f>
        <v>0.31311261950542646</v>
      </c>
      <c r="L51" s="517">
        <f xml:space="preserve"> IF(VLOOKUP(A51,[1]!TOX,36,FALSE)="M",((((('GW-1 Inhale'!$I51)/('GW-1 Exp'!$R$63))*('GW-1 Exp'!$S$63+(EXP(-1*'GW-1 Exp'!$R$63*'GW-1 Exp'!$T$63)/'GW-1 Exp'!$R$63)-(EXP('GW-1 Exp'!$R$63*('GW-1 Exp'!$S$63-'GW-1 Exp'!$T$63))/'GW-1 Exp'!$R$63))*('GW-1 Exp'!$U$63*'GW-1 Exp'!$V$63*'GW-1 Exp'!$W$63*'GW-1 Exp'!$X$63*'GW-1 Exp'!$AB$63/'GW-1 Exp'!$Y$63)*10))+(((('GW-1 Inhale'!$I51)/('GW-1 Exp'!$R$64))*('GW-1 Exp'!$S$64+(EXP(-1*'GW-1 Exp'!$R$64*'GW-1 Exp'!$T$64)/'GW-1 Exp'!$R$64)-(EXP('GW-1 Exp'!$R$64*('GW-1 Exp'!$S$64-'GW-1 Exp'!$T$64))/'GW-1 Exp'!$R$64))*('GW-1 Exp'!$U$64*'GW-1 Exp'!$V$64*'GW-1 Exp'!$W$64*'GW-1 Exp'!$X$64*'GW-1 Exp'!$AB$64/'GW-1 Exp'!$Y$64))*3)+(((('GW-1 Inhale'!$I51)/('GW-1 Exp'!$R$65))*('GW-1 Exp'!$S$65+(EXP(-1*'GW-1 Exp'!$R$65*'GW-1 Exp'!$T$65)/'GW-1 Exp'!$R$65)-(EXP('GW-1 Exp'!$R$65*('GW-1 Exp'!$S$65-'GW-1 Exp'!$T$65))/'GW-1 Exp'!$R$65))*('GW-1 Exp'!$U$65*'GW-1 Exp'!$V$65*'GW-1 Exp'!$W$65*'GW-1 Exp'!$X$65*'GW-1 Exp'!$AB$65/'GW-1 Exp'!$Y$65))*3)+(((('GW-1 Inhale'!$I51)/('GW-1 Exp'!$R$66))*('GW-1 Exp'!$S$66+(EXP(-1*'GW-1 Exp'!$R$66*'GW-1 Exp'!$T$66)/'GW-1 Exp'!$R$66)-(EXP('GW-1 Exp'!$R$66*('GW-1 Exp'!$S$66-'GW-1 Exp'!$T$66))/'GW-1 Exp'!$R$66))*('GW-1 Exp'!$U$66*'GW-1 Exp'!$V$66*'GW-1 Exp'!$W$66*'GW-1 Exp'!$X$66*'GW-1 Exp'!$AB$66/'GW-1 Exp'!$Y$66))*1)),0)</f>
        <v>0</v>
      </c>
      <c r="M51" s="518">
        <f>IF(OR((VLOOKUP(A51,[1]!TOX,8,FALSE))=0,J51=0),0,'[1]Target Risk'!$D$8*(VLOOKUP(A51,[1]!TOX,8,FALSE))*'GW-1 Exp'!$Z$58/(VLOOKUP(A51,DWInhale,10,FALSE)))</f>
        <v>3.2850658541829652</v>
      </c>
      <c r="N51" s="519">
        <f>IF(OR(K51=0,(VLOOKUP(A51,[1]!TOX,15,FALSE))=0),0,IF(VLOOKUP(A51,[1]!TOX,36,FALSE)="M",'[1]Target Risk'!$D$12/((VLOOKUP(A51,[1]!TOX,15,FALSE))*(VLOOKUP(A51,DWInhale,12,FALSE))), '[1]Target Risk'!$D$12/((VLOOKUP(A51,[1]!TOX,15,FALSE))*(VLOOKUP(A51,DWInhale,11,FALSE)))))</f>
        <v>0.12283611731232665</v>
      </c>
      <c r="O51" s="520">
        <f>IF(OR(VLOOKUP(A51,[1]!TOX,15,FALSE)=0, NOT(VLOOKUP(A51,[1]!TOX,36,FALSE)="M")),0,'[1]Target Risk'!$D$12/(VLOOKUP(A51,[1]!TOX,15,FALSE)*VLOOKUP(A51,DWInhale,12,FALSE)))</f>
        <v>0</v>
      </c>
    </row>
    <row r="52" spans="1:15" x14ac:dyDescent="0.25">
      <c r="A52" s="510" t="s">
        <v>203</v>
      </c>
      <c r="B52" s="511">
        <f>(VLOOKUP(A52,[1]!TOX,54,FALSE))</f>
        <v>2.6100000000000002E-2</v>
      </c>
      <c r="C52" s="512">
        <f>(VLOOKUP(A52,[1]!TOX,57,FALSE))</f>
        <v>97</v>
      </c>
      <c r="D52" s="513">
        <f>IF(C52=0,0,'GW-1 Exp'!$F$58*(18/C52)^0.5)</f>
        <v>1292.3246855119287</v>
      </c>
      <c r="E52" s="514">
        <f>IF(C52=0,0,'GW-1 Exp'!$G$58*(44/C52)^0.5)</f>
        <v>13.470089048297794</v>
      </c>
      <c r="F52" s="514">
        <f>IF(B52*D52=0,0,((1/E52)+(('GW-1 Exp'!$E$58*'GW-1 Exp'!$M$58)/(B52*D52)))^-1)</f>
        <v>13.342073383162379</v>
      </c>
      <c r="G52" s="514">
        <f>F52*(('GW-1 Exp'!$H$58*'GW-1 Exp'!$J$58)/('GW-1 Exp'!$N$58*'GW-1 Exp'!$I$58))^-0.5</f>
        <v>18.022449019987825</v>
      </c>
      <c r="H52" s="514">
        <f>(1-EXP((-1*G52*'GW-1 Exp'!$D$58)/(60*'GW-1 Exp'!$C$58)))</f>
        <v>0.45159888640262946</v>
      </c>
      <c r="I52" s="515">
        <f>H52*'GW-1 Exp'!$P$58/'GW-1 Exp'!$Q$58</f>
        <v>0.75266481067104907</v>
      </c>
      <c r="J52" s="516">
        <f>(('GW-1 Inhale'!$I52)/('GW-1 Exp'!$R$58))*('GW-1 Exp'!$S$48+(EXP(-1*'GW-1 Exp'!$R$58*'GW-1 Exp'!$T$48)/'GW-1 Exp'!$R$58)-(EXP('GW-1 Exp'!$R$58*('GW-1 Exp'!$S$48-'GW-1 Exp'!$T$48))/'GW-1 Exp'!$R$58))*('GW-1 Exp'!$U$48*'GW-1 Exp'!$V$48*'GW-1 Exp'!$W$48*'GW-1 Exp'!$X$48*'GW-1 Exp'!$AB$58/'GW-1 Exp'!$Y$48)</f>
        <v>0.49274841503417449</v>
      </c>
      <c r="K52" s="517">
        <f>(('GW-1 Inhale'!$I52)/('GW-1 Exp'!$R$58))*('GW-1 Exp'!$S$56+(EXP(-1*'GW-1 Exp'!$R$58*'GW-1 Exp'!$T$56)/'GW-1 Exp'!$R$58)-(EXP('GW-1 Exp'!$R$58*('GW-1 Exp'!$S$56-'GW-1 Exp'!$T$56))/'GW-1 Exp'!$R$58))*('GW-1 Exp'!$U$56*'GW-1 Exp'!$V$56*'GW-1 Exp'!$W$56*'GW-1 Exp'!$X$56*'GW-1 Exp'!$AB$58/'GW-1 Exp'!$Y$56)</f>
        <v>0.36202774229930362</v>
      </c>
      <c r="L52" s="517">
        <f xml:space="preserve"> IF(VLOOKUP(A52,[1]!TOX,36,FALSE)="M",((((('GW-1 Inhale'!$I52)/('GW-1 Exp'!$R$63))*('GW-1 Exp'!$S$63+(EXP(-1*'GW-1 Exp'!$R$63*'GW-1 Exp'!$T$63)/'GW-1 Exp'!$R$63)-(EXP('GW-1 Exp'!$R$63*('GW-1 Exp'!$S$63-'GW-1 Exp'!$T$63))/'GW-1 Exp'!$R$63))*('GW-1 Exp'!$U$63*'GW-1 Exp'!$V$63*'GW-1 Exp'!$W$63*'GW-1 Exp'!$X$63*'GW-1 Exp'!$AB$63/'GW-1 Exp'!$Y$63)*10))+(((('GW-1 Inhale'!$I52)/('GW-1 Exp'!$R$64))*('GW-1 Exp'!$S$64+(EXP(-1*'GW-1 Exp'!$R$64*'GW-1 Exp'!$T$64)/'GW-1 Exp'!$R$64)-(EXP('GW-1 Exp'!$R$64*('GW-1 Exp'!$S$64-'GW-1 Exp'!$T$64))/'GW-1 Exp'!$R$64))*('GW-1 Exp'!$U$64*'GW-1 Exp'!$V$64*'GW-1 Exp'!$W$64*'GW-1 Exp'!$X$64*'GW-1 Exp'!$AB$64/'GW-1 Exp'!$Y$64))*3)+(((('GW-1 Inhale'!$I52)/('GW-1 Exp'!$R$65))*('GW-1 Exp'!$S$65+(EXP(-1*'GW-1 Exp'!$R$65*'GW-1 Exp'!$T$65)/'GW-1 Exp'!$R$65)-(EXP('GW-1 Exp'!$R$65*('GW-1 Exp'!$S$65-'GW-1 Exp'!$T$65))/'GW-1 Exp'!$R$65))*('GW-1 Exp'!$U$65*'GW-1 Exp'!$V$65*'GW-1 Exp'!$W$65*'GW-1 Exp'!$X$65*'GW-1 Exp'!$AB$65/'GW-1 Exp'!$Y$65))*3)+(((('GW-1 Inhale'!$I52)/('GW-1 Exp'!$R$66))*('GW-1 Exp'!$S$66+(EXP(-1*'GW-1 Exp'!$R$66*'GW-1 Exp'!$T$66)/'GW-1 Exp'!$R$66)-(EXP('GW-1 Exp'!$R$66*('GW-1 Exp'!$S$66-'GW-1 Exp'!$T$66))/'GW-1 Exp'!$R$66))*('GW-1 Exp'!$U$66*'GW-1 Exp'!$V$66*'GW-1 Exp'!$W$66*'GW-1 Exp'!$X$66*'GW-1 Exp'!$AB$66/'GW-1 Exp'!$Y$66))*1)),0)</f>
        <v>0</v>
      </c>
      <c r="M52" s="518">
        <f>IF(OR((VLOOKUP(A52,[1]!TOX,8,FALSE))=0,J52=0),0,'[1]Target Risk'!$D$8*(VLOOKUP(A52,[1]!TOX,8,FALSE))*'GW-1 Exp'!$Z$58/(VLOOKUP(A52,DWInhale,10,FALSE)))</f>
        <v>81.177328591155003</v>
      </c>
      <c r="N52" s="519">
        <f>IF(OR(K52=0,(VLOOKUP(A52,[1]!TOX,15,FALSE))=0),0,IF(VLOOKUP(A52,[1]!TOX,36,FALSE)="M",'[1]Target Risk'!$D$12/((VLOOKUP(A52,[1]!TOX,15,FALSE))*(VLOOKUP(A52,DWInhale,12,FALSE))), '[1]Target Risk'!$D$12/((VLOOKUP(A52,[1]!TOX,15,FALSE))*(VLOOKUP(A52,DWInhale,11,FALSE)))))</f>
        <v>0</v>
      </c>
      <c r="O52" s="520">
        <f>IF(OR(VLOOKUP(A52,[1]!TOX,15,FALSE)=0, NOT(VLOOKUP(A52,[1]!TOX,36,FALSE)="M")),0,'[1]Target Risk'!$D$12/(VLOOKUP(A52,[1]!TOX,15,FALSE)*VLOOKUP(A52,DWInhale,12,FALSE)))</f>
        <v>0</v>
      </c>
    </row>
    <row r="53" spans="1:15" x14ac:dyDescent="0.25">
      <c r="A53" s="510" t="s">
        <v>204</v>
      </c>
      <c r="B53" s="511">
        <f>(VLOOKUP(A53,[1]!TOX,54,FALSE))</f>
        <v>4.0800000000000003E-3</v>
      </c>
      <c r="C53" s="512">
        <f>(VLOOKUP(A53,[1]!TOX,57,FALSE))</f>
        <v>97</v>
      </c>
      <c r="D53" s="513">
        <f>IF(C53=0,0,'GW-1 Exp'!$F$58*(18/C53)^0.5)</f>
        <v>1292.3246855119287</v>
      </c>
      <c r="E53" s="514">
        <f>IF(C53=0,0,'GW-1 Exp'!$G$58*(44/C53)^0.5)</f>
        <v>13.470089048297794</v>
      </c>
      <c r="F53" s="514">
        <f>IF(B53*D53=0,0,((1/E53)+(('GW-1 Exp'!$E$58*'GW-1 Exp'!$M$58)/(B53*D53)))^-1)</f>
        <v>12.69112019404124</v>
      </c>
      <c r="G53" s="514">
        <f>F53*(('GW-1 Exp'!$H$58*'GW-1 Exp'!$J$58)/('GW-1 Exp'!$N$58*'GW-1 Exp'!$I$58))^-0.5</f>
        <v>17.143142608726464</v>
      </c>
      <c r="H53" s="514">
        <f>(1-EXP((-1*G53*'GW-1 Exp'!$D$58)/(60*'GW-1 Exp'!$C$58)))</f>
        <v>0.43528725155832859</v>
      </c>
      <c r="I53" s="515">
        <f>H53*'GW-1 Exp'!$P$58/'GW-1 Exp'!$Q$58</f>
        <v>0.72547875259721428</v>
      </c>
      <c r="J53" s="516">
        <f>(('GW-1 Inhale'!$I53)/('GW-1 Exp'!$R$58))*('GW-1 Exp'!$S$48+(EXP(-1*'GW-1 Exp'!$R$58*'GW-1 Exp'!$T$48)/'GW-1 Exp'!$R$58)-(EXP('GW-1 Exp'!$R$58*('GW-1 Exp'!$S$48-'GW-1 Exp'!$T$48))/'GW-1 Exp'!$R$58))*('GW-1 Exp'!$U$48*'GW-1 Exp'!$V$48*'GW-1 Exp'!$W$48*'GW-1 Exp'!$X$48*'GW-1 Exp'!$AB$58/'GW-1 Exp'!$Y$48)</f>
        <v>0.47495046987055534</v>
      </c>
      <c r="K53" s="517">
        <f>(('GW-1 Inhale'!$I53)/('GW-1 Exp'!$R$58))*('GW-1 Exp'!$S$56+(EXP(-1*'GW-1 Exp'!$R$58*'GW-1 Exp'!$T$56)/'GW-1 Exp'!$R$58)-(EXP('GW-1 Exp'!$R$58*('GW-1 Exp'!$S$56-'GW-1 Exp'!$T$56))/'GW-1 Exp'!$R$58))*('GW-1 Exp'!$U$56*'GW-1 Exp'!$V$56*'GW-1 Exp'!$W$56*'GW-1 Exp'!$X$56*'GW-1 Exp'!$AB$58/'GW-1 Exp'!$Y$56)</f>
        <v>0.34895139398734615</v>
      </c>
      <c r="L53" s="517">
        <f xml:space="preserve"> IF(VLOOKUP(A53,[1]!TOX,36,FALSE)="M",((((('GW-1 Inhale'!$I53)/('GW-1 Exp'!$R$63))*('GW-1 Exp'!$S$63+(EXP(-1*'GW-1 Exp'!$R$63*'GW-1 Exp'!$T$63)/'GW-1 Exp'!$R$63)-(EXP('GW-1 Exp'!$R$63*('GW-1 Exp'!$S$63-'GW-1 Exp'!$T$63))/'GW-1 Exp'!$R$63))*('GW-1 Exp'!$U$63*'GW-1 Exp'!$V$63*'GW-1 Exp'!$W$63*'GW-1 Exp'!$X$63*'GW-1 Exp'!$AB$63/'GW-1 Exp'!$Y$63)*10))+(((('GW-1 Inhale'!$I53)/('GW-1 Exp'!$R$64))*('GW-1 Exp'!$S$64+(EXP(-1*'GW-1 Exp'!$R$64*'GW-1 Exp'!$T$64)/'GW-1 Exp'!$R$64)-(EXP('GW-1 Exp'!$R$64*('GW-1 Exp'!$S$64-'GW-1 Exp'!$T$64))/'GW-1 Exp'!$R$64))*('GW-1 Exp'!$U$64*'GW-1 Exp'!$V$64*'GW-1 Exp'!$W$64*'GW-1 Exp'!$X$64*'GW-1 Exp'!$AB$64/'GW-1 Exp'!$Y$64))*3)+(((('GW-1 Inhale'!$I53)/('GW-1 Exp'!$R$65))*('GW-1 Exp'!$S$65+(EXP(-1*'GW-1 Exp'!$R$65*'GW-1 Exp'!$T$65)/'GW-1 Exp'!$R$65)-(EXP('GW-1 Exp'!$R$65*('GW-1 Exp'!$S$65-'GW-1 Exp'!$T$65))/'GW-1 Exp'!$R$65))*('GW-1 Exp'!$U$65*'GW-1 Exp'!$V$65*'GW-1 Exp'!$W$65*'GW-1 Exp'!$X$65*'GW-1 Exp'!$AB$65/'GW-1 Exp'!$Y$65))*3)+(((('GW-1 Inhale'!$I53)/('GW-1 Exp'!$R$66))*('GW-1 Exp'!$S$66+(EXP(-1*'GW-1 Exp'!$R$66*'GW-1 Exp'!$T$66)/'GW-1 Exp'!$R$66)-(EXP('GW-1 Exp'!$R$66*('GW-1 Exp'!$S$66-'GW-1 Exp'!$T$66))/'GW-1 Exp'!$R$66))*('GW-1 Exp'!$U$66*'GW-1 Exp'!$V$66*'GW-1 Exp'!$W$66*'GW-1 Exp'!$X$66*'GW-1 Exp'!$AB$66/'GW-1 Exp'!$Y$66))*1)),0)</f>
        <v>0</v>
      </c>
      <c r="M53" s="518">
        <f>IF(OR((VLOOKUP(A53,[1]!TOX,8,FALSE))=0,J53=0),0,'[1]Target Risk'!$D$8*(VLOOKUP(A53,[1]!TOX,8,FALSE))*'GW-1 Exp'!$Z$58/(VLOOKUP(A53,DWInhale,10,FALSE)))</f>
        <v>2.9476757868700729</v>
      </c>
      <c r="N53" s="519">
        <f>IF(OR(K53=0,(VLOOKUP(A53,[1]!TOX,15,FALSE))=0),0,IF(VLOOKUP(A53,[1]!TOX,36,FALSE)="M",'[1]Target Risk'!$D$12/((VLOOKUP(A53,[1]!TOX,15,FALSE))*(VLOOKUP(A53,DWInhale,12,FALSE))), '[1]Target Risk'!$D$12/((VLOOKUP(A53,[1]!TOX,15,FALSE))*(VLOOKUP(A53,DWInhale,11,FALSE)))))</f>
        <v>0</v>
      </c>
      <c r="O53" s="520">
        <f>IF(OR(VLOOKUP(A53,[1]!TOX,15,FALSE)=0, NOT(VLOOKUP(A53,[1]!TOX,36,FALSE)="M")),0,'[1]Target Risk'!$D$12/(VLOOKUP(A53,[1]!TOX,15,FALSE)*VLOOKUP(A53,DWInhale,12,FALSE)))</f>
        <v>0</v>
      </c>
    </row>
    <row r="54" spans="1:15" x14ac:dyDescent="0.25">
      <c r="A54" s="510" t="s">
        <v>205</v>
      </c>
      <c r="B54" s="511">
        <f>(VLOOKUP(A54,[1]!TOX,54,FALSE))</f>
        <v>9.3799999999999994E-3</v>
      </c>
      <c r="C54" s="512">
        <f>(VLOOKUP(A54,[1]!TOX,57,FALSE))</f>
        <v>97</v>
      </c>
      <c r="D54" s="513">
        <f>IF(C54=0,0,'GW-1 Exp'!$F$58*(18/C54)^0.5)</f>
        <v>1292.3246855119287</v>
      </c>
      <c r="E54" s="514">
        <f>IF(C54=0,0,'GW-1 Exp'!$G$58*(44/C54)^0.5)</f>
        <v>13.470089048297794</v>
      </c>
      <c r="F54" s="514">
        <f>IF(B54*D54=0,0,((1/E54)+(('GW-1 Exp'!$E$58*'GW-1 Exp'!$M$58)/(B54*D54)))^-1)</f>
        <v>13.119817191386655</v>
      </c>
      <c r="G54" s="514">
        <f>F54*(('GW-1 Exp'!$H$58*'GW-1 Exp'!$J$58)/('GW-1 Exp'!$N$58*'GW-1 Exp'!$I$58))^-0.5</f>
        <v>17.722225751038511</v>
      </c>
      <c r="H54" s="514">
        <f>(1-EXP((-1*G54*'GW-1 Exp'!$D$58)/(60*'GW-1 Exp'!$C$58)))</f>
        <v>0.4460832411834138</v>
      </c>
      <c r="I54" s="515">
        <f>H54*'GW-1 Exp'!$P$58/'GW-1 Exp'!$Q$58</f>
        <v>0.74347206863902304</v>
      </c>
      <c r="J54" s="516">
        <f>(('GW-1 Inhale'!$I54)/('GW-1 Exp'!$R$58))*('GW-1 Exp'!$S$48+(EXP(-1*'GW-1 Exp'!$R$58*'GW-1 Exp'!$T$48)/'GW-1 Exp'!$R$58)-(EXP('GW-1 Exp'!$R$58*('GW-1 Exp'!$S$48-'GW-1 Exp'!$T$48))/'GW-1 Exp'!$R$58))*('GW-1 Exp'!$U$48*'GW-1 Exp'!$V$48*'GW-1 Exp'!$W$48*'GW-1 Exp'!$X$48*'GW-1 Exp'!$AB$58/'GW-1 Exp'!$Y$48)</f>
        <v>0.48673018619993375</v>
      </c>
      <c r="K54" s="517">
        <f>(('GW-1 Inhale'!$I54)/('GW-1 Exp'!$R$58))*('GW-1 Exp'!$S$56+(EXP(-1*'GW-1 Exp'!$R$58*'GW-1 Exp'!$T$56)/'GW-1 Exp'!$R$58)-(EXP('GW-1 Exp'!$R$58*('GW-1 Exp'!$S$56-'GW-1 Exp'!$T$56))/'GW-1 Exp'!$R$58))*('GW-1 Exp'!$U$56*'GW-1 Exp'!$V$56*'GW-1 Exp'!$W$56*'GW-1 Exp'!$X$56*'GW-1 Exp'!$AB$58/'GW-1 Exp'!$Y$56)</f>
        <v>0.35760608262263144</v>
      </c>
      <c r="L54" s="517">
        <f xml:space="preserve"> IF(VLOOKUP(A54,[1]!TOX,36,FALSE)="M",((((('GW-1 Inhale'!$I54)/('GW-1 Exp'!$R$63))*('GW-1 Exp'!$S$63+(EXP(-1*'GW-1 Exp'!$R$63*'GW-1 Exp'!$T$63)/'GW-1 Exp'!$R$63)-(EXP('GW-1 Exp'!$R$63*('GW-1 Exp'!$S$63-'GW-1 Exp'!$T$63))/'GW-1 Exp'!$R$63))*('GW-1 Exp'!$U$63*'GW-1 Exp'!$V$63*'GW-1 Exp'!$W$63*'GW-1 Exp'!$X$63*'GW-1 Exp'!$AB$63/'GW-1 Exp'!$Y$63)*10))+(((('GW-1 Inhale'!$I54)/('GW-1 Exp'!$R$64))*('GW-1 Exp'!$S$64+(EXP(-1*'GW-1 Exp'!$R$64*'GW-1 Exp'!$T$64)/'GW-1 Exp'!$R$64)-(EXP('GW-1 Exp'!$R$64*('GW-1 Exp'!$S$64-'GW-1 Exp'!$T$64))/'GW-1 Exp'!$R$64))*('GW-1 Exp'!$U$64*'GW-1 Exp'!$V$64*'GW-1 Exp'!$W$64*'GW-1 Exp'!$X$64*'GW-1 Exp'!$AB$64/'GW-1 Exp'!$Y$64))*3)+(((('GW-1 Inhale'!$I54)/('GW-1 Exp'!$R$65))*('GW-1 Exp'!$S$65+(EXP(-1*'GW-1 Exp'!$R$65*'GW-1 Exp'!$T$65)/'GW-1 Exp'!$R$65)-(EXP('GW-1 Exp'!$R$65*('GW-1 Exp'!$S$65-'GW-1 Exp'!$T$65))/'GW-1 Exp'!$R$65))*('GW-1 Exp'!$U$65*'GW-1 Exp'!$V$65*'GW-1 Exp'!$W$65*'GW-1 Exp'!$X$65*'GW-1 Exp'!$AB$65/'GW-1 Exp'!$Y$65))*3)+(((('GW-1 Inhale'!$I54)/('GW-1 Exp'!$R$66))*('GW-1 Exp'!$S$66+(EXP(-1*'GW-1 Exp'!$R$66*'GW-1 Exp'!$T$66)/'GW-1 Exp'!$R$66)-(EXP('GW-1 Exp'!$R$66*('GW-1 Exp'!$S$66-'GW-1 Exp'!$T$66))/'GW-1 Exp'!$R$66))*('GW-1 Exp'!$U$66*'GW-1 Exp'!$V$66*'GW-1 Exp'!$W$66*'GW-1 Exp'!$X$66*'GW-1 Exp'!$AB$66/'GW-1 Exp'!$Y$66))*1)),0)</f>
        <v>0</v>
      </c>
      <c r="M54" s="518">
        <f>IF(OR((VLOOKUP(A54,[1]!TOX,8,FALSE))=0,J54=0),0,'[1]Target Risk'!$D$8*(VLOOKUP(A54,[1]!TOX,8,FALSE))*'GW-1 Exp'!$Z$58/(VLOOKUP(A54,DWInhale,10,FALSE)))</f>
        <v>28.763369104560187</v>
      </c>
      <c r="N54" s="519">
        <f>IF(OR(K54=0,(VLOOKUP(A54,[1]!TOX,15,FALSE))=0),0,IF(VLOOKUP(A54,[1]!TOX,36,FALSE)="M",'[1]Target Risk'!$D$12/((VLOOKUP(A54,[1]!TOX,15,FALSE))*(VLOOKUP(A54,DWInhale,12,FALSE))), '[1]Target Risk'!$D$12/((VLOOKUP(A54,[1]!TOX,15,FALSE))*(VLOOKUP(A54,DWInhale,11,FALSE)))))</f>
        <v>0</v>
      </c>
      <c r="O54" s="520">
        <f>IF(OR(VLOOKUP(A54,[1]!TOX,15,FALSE)=0, NOT(VLOOKUP(A54,[1]!TOX,36,FALSE)="M")),0,'[1]Target Risk'!$D$12/(VLOOKUP(A54,[1]!TOX,15,FALSE)*VLOOKUP(A54,DWInhale,12,FALSE)))</f>
        <v>0</v>
      </c>
    </row>
    <row r="55" spans="1:15" x14ac:dyDescent="0.25">
      <c r="A55" s="510" t="s">
        <v>206</v>
      </c>
      <c r="B55" s="511">
        <f>(VLOOKUP(A55,[1]!TOX,54,FALSE))</f>
        <v>3.2499999999999999E-3</v>
      </c>
      <c r="C55" s="512">
        <f>(VLOOKUP(A55,[1]!TOX,57,FALSE))</f>
        <v>85</v>
      </c>
      <c r="D55" s="513">
        <f>IF(C55=0,0,'GW-1 Exp'!$F$58*(18/C55)^0.5)</f>
        <v>1380.5369799252669</v>
      </c>
      <c r="E55" s="514">
        <f>IF(C55=0,0,'GW-1 Exp'!$G$58*(44/C55)^0.5)</f>
        <v>14.389538683690029</v>
      </c>
      <c r="F55" s="514">
        <f>IF(B55*D55=0,0,((1/E55)+(('GW-1 Exp'!$E$58*'GW-1 Exp'!$M$58)/(B55*D55)))^-1)</f>
        <v>13.360086435720017</v>
      </c>
      <c r="G55" s="514">
        <f>F55*(('GW-1 Exp'!$H$58*'GW-1 Exp'!$J$58)/('GW-1 Exp'!$N$58*'GW-1 Exp'!$I$58))^-0.5</f>
        <v>18.04678101937737</v>
      </c>
      <c r="H55" s="514">
        <f>(1-EXP((-1*G55*'GW-1 Exp'!$D$58)/(60*'GW-1 Exp'!$C$58)))</f>
        <v>0.4520434959263212</v>
      </c>
      <c r="I55" s="515">
        <f>H55*'GW-1 Exp'!$P$58/'GW-1 Exp'!$Q$58</f>
        <v>0.75340582654386867</v>
      </c>
      <c r="J55" s="516">
        <f>(('GW-1 Inhale'!$I55)/('GW-1 Exp'!$R$58))*('GW-1 Exp'!$S$48+(EXP(-1*'GW-1 Exp'!$R$58*'GW-1 Exp'!$T$48)/'GW-1 Exp'!$R$58)-(EXP('GW-1 Exp'!$R$58*('GW-1 Exp'!$S$48-'GW-1 Exp'!$T$48))/'GW-1 Exp'!$R$58))*('GW-1 Exp'!$U$48*'GW-1 Exp'!$V$48*'GW-1 Exp'!$W$48*'GW-1 Exp'!$X$48*'GW-1 Exp'!$AB$58/'GW-1 Exp'!$Y$48)</f>
        <v>0.49323353721827323</v>
      </c>
      <c r="K55" s="758">
        <f>(('GW-1 Inhale'!$I55)/('GW-1 Exp'!$R$58))*('GW-1 Exp'!$S$56+(EXP(-1*'GW-1 Exp'!$R$58*'GW-1 Exp'!$T$56)/'GW-1 Exp'!$R$58)-(EXP('GW-1 Exp'!$R$58*('GW-1 Exp'!$S$56-'GW-1 Exp'!$T$56))/'GW-1 Exp'!$R$58))*('GW-1 Exp'!$U$56*'GW-1 Exp'!$V$56*'GW-1 Exp'!$W$56*'GW-1 Exp'!$X$56*'GW-1 Exp'!$AB$58/'GW-1 Exp'!$Y$56)</f>
        <v>0.36238416696489373</v>
      </c>
      <c r="L55" s="517">
        <f xml:space="preserve"> IF(VLOOKUP(A55,[1]!TOX,36,FALSE)="M",((((('GW-1 Inhale'!$I55)/('GW-1 Exp'!$R$63))*('GW-1 Exp'!$S$63+(EXP(-1*'GW-1 Exp'!$R$63*'GW-1 Exp'!$T$63)/'GW-1 Exp'!$R$63)-(EXP('GW-1 Exp'!$R$63*('GW-1 Exp'!$S$63-'GW-1 Exp'!$T$63))/'GW-1 Exp'!$R$63))*('GW-1 Exp'!$U$63*'GW-1 Exp'!$V$63*'GW-1 Exp'!$W$63*'GW-1 Exp'!$X$63*'GW-1 Exp'!$AB$63/'GW-1 Exp'!$Y$63)*10))+(((('GW-1 Inhale'!$I55)/('GW-1 Exp'!$R$64))*('GW-1 Exp'!$S$64+(EXP(-1*'GW-1 Exp'!$R$64*'GW-1 Exp'!$T$64)/'GW-1 Exp'!$R$64)-(EXP('GW-1 Exp'!$R$64*('GW-1 Exp'!$S$64-'GW-1 Exp'!$T$64))/'GW-1 Exp'!$R$64))*('GW-1 Exp'!$U$64*'GW-1 Exp'!$V$64*'GW-1 Exp'!$W$64*'GW-1 Exp'!$X$64*'GW-1 Exp'!$AB$64/'GW-1 Exp'!$Y$64))*3)+(((('GW-1 Inhale'!$I55)/('GW-1 Exp'!$R$65))*('GW-1 Exp'!$S$65+(EXP(-1*'GW-1 Exp'!$R$65*'GW-1 Exp'!$T$65)/'GW-1 Exp'!$R$65)-(EXP('GW-1 Exp'!$R$65*('GW-1 Exp'!$S$65-'GW-1 Exp'!$T$65))/'GW-1 Exp'!$R$65))*('GW-1 Exp'!$U$65*'GW-1 Exp'!$V$65*'GW-1 Exp'!$W$65*'GW-1 Exp'!$X$65*'GW-1 Exp'!$AB$65/'GW-1 Exp'!$Y$65))*3)+(((('GW-1 Inhale'!$I55)/('GW-1 Exp'!$R$66))*('GW-1 Exp'!$S$66+(EXP(-1*'GW-1 Exp'!$R$66*'GW-1 Exp'!$T$66)/'GW-1 Exp'!$R$66)-(EXP('GW-1 Exp'!$R$66*('GW-1 Exp'!$S$66-'GW-1 Exp'!$T$66))/'GW-1 Exp'!$R$66))*('GW-1 Exp'!$U$66*'GW-1 Exp'!$V$66*'GW-1 Exp'!$W$66*'GW-1 Exp'!$X$66*'GW-1 Exp'!$AB$66/'GW-1 Exp'!$Y$66))*1)),0)</f>
        <v>0.76339370921654304</v>
      </c>
      <c r="M55" s="518">
        <f>IF(OR((VLOOKUP(A55,[1]!TOX,8,FALSE))=0,J55=0),0,'[1]Target Risk'!$D$8*(VLOOKUP(A55,[1]!TOX,8,FALSE))*'GW-1 Exp'!$Z$58/(VLOOKUP(A55,DWInhale,10,FALSE)))</f>
        <v>243.2924587341995</v>
      </c>
      <c r="N55" s="519">
        <f>IF(OR(K55=0,(VLOOKUP(A55,[1]!TOX,15,FALSE))=0),0,IF(VLOOKUP(A55,[1]!TOX,36,FALSE)="M",'[1]Target Risk'!$D$12/((VLOOKUP(A55,[1]!TOX,15,FALSE))*(VLOOKUP(A55,DWInhale,12,FALSE))), '[1]Target Risk'!$D$12/((VLOOKUP(A55,[1]!TOX,15,FALSE))*(VLOOKUP(A55,DWInhale,11,FALSE)))))</f>
        <v>130.99400583563644</v>
      </c>
      <c r="O55" s="520">
        <f>IF(OR(VLOOKUP(A55,[1]!TOX,15,FALSE)=0, NOT(VLOOKUP(A55,[1]!TOX,36,FALSE)="M")),0,'[1]Target Risk'!$D$12/(VLOOKUP(A55,[1]!TOX,15,FALSE)*VLOOKUP(A55,DWInhale,12,FALSE)))</f>
        <v>130.99400583563644</v>
      </c>
    </row>
    <row r="56" spans="1:15" x14ac:dyDescent="0.25">
      <c r="A56" s="510" t="s">
        <v>207</v>
      </c>
      <c r="B56" s="511">
        <f>(VLOOKUP(A56,[1]!TOX,54,FALSE))</f>
        <v>5.5099999999999998E-6</v>
      </c>
      <c r="C56" s="512">
        <f>(VLOOKUP(A56,[1]!TOX,57,FALSE))</f>
        <v>163</v>
      </c>
      <c r="D56" s="513">
        <f>IF(C56=0,0,'GW-1 Exp'!$F$58*(18/C56)^0.5)</f>
        <v>996.92779611908043</v>
      </c>
      <c r="E56" s="514">
        <f>IF(C56=0,0,'GW-1 Exp'!$G$58*(44/C56)^0.5)</f>
        <v>10.391124102939941</v>
      </c>
      <c r="F56" s="514">
        <f>IF(B56*D56=0,0,((1/E56)+(('GW-1 Exp'!$E$58*'GW-1 Exp'!$M$58)/(B56*D56)))^-1)</f>
        <v>0.22370819244638271</v>
      </c>
      <c r="G56" s="514">
        <f>F56*(('GW-1 Exp'!$H$58*'GW-1 Exp'!$J$58)/('GW-1 Exp'!$N$58*'GW-1 Exp'!$I$58))^-0.5</f>
        <v>0.30218462887534614</v>
      </c>
      <c r="H56" s="514">
        <f>(1-EXP((-1*G56*'GW-1 Exp'!$D$58)/(60*'GW-1 Exp'!$C$58)))</f>
        <v>1.0022260007659711E-2</v>
      </c>
      <c r="I56" s="515">
        <f>H56*'GW-1 Exp'!$P$58/'GW-1 Exp'!$Q$58</f>
        <v>1.6703766679432852E-2</v>
      </c>
      <c r="J56" s="516">
        <f>(('GW-1 Inhale'!$I56)/('GW-1 Exp'!$R$58))*('GW-1 Exp'!$S$48+(EXP(-1*'GW-1 Exp'!$R$58*'GW-1 Exp'!$T$48)/'GW-1 Exp'!$R$58)-(EXP('GW-1 Exp'!$R$58*('GW-1 Exp'!$S$48-'GW-1 Exp'!$T$48))/'GW-1 Exp'!$R$58))*('GW-1 Exp'!$U$48*'GW-1 Exp'!$V$48*'GW-1 Exp'!$W$48*'GW-1 Exp'!$X$48*'GW-1 Exp'!$AB$58/'GW-1 Exp'!$Y$48)</f>
        <v>1.0935484746593834E-2</v>
      </c>
      <c r="K56" s="517">
        <f>(('GW-1 Inhale'!$I56)/('GW-1 Exp'!$R$58))*('GW-1 Exp'!$S$56+(EXP(-1*'GW-1 Exp'!$R$58*'GW-1 Exp'!$T$56)/'GW-1 Exp'!$R$58)-(EXP('GW-1 Exp'!$R$58*('GW-1 Exp'!$S$56-'GW-1 Exp'!$T$56))/'GW-1 Exp'!$R$58))*('GW-1 Exp'!$U$56*'GW-1 Exp'!$V$56*'GW-1 Exp'!$W$56*'GW-1 Exp'!$X$56*'GW-1 Exp'!$AB$58/'GW-1 Exp'!$Y$56)</f>
        <v>8.0344222994269132E-3</v>
      </c>
      <c r="L56" s="517">
        <f xml:space="preserve"> IF(VLOOKUP(A56,[1]!TOX,36,FALSE)="M",((((('GW-1 Inhale'!$I56)/('GW-1 Exp'!$R$63))*('GW-1 Exp'!$S$63+(EXP(-1*'GW-1 Exp'!$R$63*'GW-1 Exp'!$T$63)/'GW-1 Exp'!$R$63)-(EXP('GW-1 Exp'!$R$63*('GW-1 Exp'!$S$63-'GW-1 Exp'!$T$63))/'GW-1 Exp'!$R$63))*('GW-1 Exp'!$U$63*'GW-1 Exp'!$V$63*'GW-1 Exp'!$W$63*'GW-1 Exp'!$X$63*'GW-1 Exp'!$AB$63/'GW-1 Exp'!$Y$63)*10))+(((('GW-1 Inhale'!$I56)/('GW-1 Exp'!$R$64))*('GW-1 Exp'!$S$64+(EXP(-1*'GW-1 Exp'!$R$64*'GW-1 Exp'!$T$64)/'GW-1 Exp'!$R$64)-(EXP('GW-1 Exp'!$R$64*('GW-1 Exp'!$S$64-'GW-1 Exp'!$T$64))/'GW-1 Exp'!$R$64))*('GW-1 Exp'!$U$64*'GW-1 Exp'!$V$64*'GW-1 Exp'!$W$64*'GW-1 Exp'!$X$64*'GW-1 Exp'!$AB$64/'GW-1 Exp'!$Y$64))*3)+(((('GW-1 Inhale'!$I56)/('GW-1 Exp'!$R$65))*('GW-1 Exp'!$S$65+(EXP(-1*'GW-1 Exp'!$R$65*'GW-1 Exp'!$T$65)/'GW-1 Exp'!$R$65)-(EXP('GW-1 Exp'!$R$65*('GW-1 Exp'!$S$65-'GW-1 Exp'!$T$65))/'GW-1 Exp'!$R$65))*('GW-1 Exp'!$U$65*'GW-1 Exp'!$V$65*'GW-1 Exp'!$W$65*'GW-1 Exp'!$X$65*'GW-1 Exp'!$AB$65/'GW-1 Exp'!$Y$65))*3)+(((('GW-1 Inhale'!$I56)/('GW-1 Exp'!$R$66))*('GW-1 Exp'!$S$66+(EXP(-1*'GW-1 Exp'!$R$66*'GW-1 Exp'!$T$66)/'GW-1 Exp'!$R$66)-(EXP('GW-1 Exp'!$R$66*('GW-1 Exp'!$S$66-'GW-1 Exp'!$T$66))/'GW-1 Exp'!$R$66))*('GW-1 Exp'!$U$66*'GW-1 Exp'!$V$66*'GW-1 Exp'!$W$66*'GW-1 Exp'!$X$66*'GW-1 Exp'!$AB$66/'GW-1 Exp'!$Y$66))*1)),0)</f>
        <v>0</v>
      </c>
      <c r="M56" s="518">
        <f>IF(OR((VLOOKUP(A56,[1]!TOX,8,FALSE))=0,J56=0),0,'[1]Target Risk'!$D$8*(VLOOKUP(A56,[1]!TOX,8,FALSE))*'GW-1 Exp'!$Z$58/(VLOOKUP(A56,DWInhale,10,FALSE)))</f>
        <v>201.17992489407041</v>
      </c>
      <c r="N56" s="519">
        <f>IF(OR(K56=0,(VLOOKUP(A56,[1]!TOX,15,FALSE))=0),0,IF(VLOOKUP(A56,[1]!TOX,36,FALSE)="M",'[1]Target Risk'!$D$12/((VLOOKUP(A56,[1]!TOX,15,FALSE))*(VLOOKUP(A56,DWInhale,12,FALSE))), '[1]Target Risk'!$D$12/((VLOOKUP(A56,[1]!TOX,15,FALSE))*(VLOOKUP(A56,DWInhale,11,FALSE)))))</f>
        <v>0</v>
      </c>
      <c r="O56" s="520">
        <f>IF(OR(VLOOKUP(A56,[1]!TOX,15,FALSE)=0, NOT(VLOOKUP(A56,[1]!TOX,36,FALSE)="M")),0,'[1]Target Risk'!$D$12/(VLOOKUP(A56,[1]!TOX,15,FALSE)*VLOOKUP(A56,DWInhale,12,FALSE)))</f>
        <v>0</v>
      </c>
    </row>
    <row r="57" spans="1:15" x14ac:dyDescent="0.25">
      <c r="A57" s="510" t="s">
        <v>208</v>
      </c>
      <c r="B57" s="511">
        <f>(VLOOKUP(A57,[1]!TOX,54,FALSE))</f>
        <v>2.82E-3</v>
      </c>
      <c r="C57" s="512">
        <f>(VLOOKUP(A57,[1]!TOX,57,FALSE))</f>
        <v>113</v>
      </c>
      <c r="D57" s="513">
        <f>IF(C57=0,0,'GW-1 Exp'!$F$58*(18/C57)^0.5)</f>
        <v>1197.3421894279306</v>
      </c>
      <c r="E57" s="514">
        <f>IF(C57=0,0,'GW-1 Exp'!$G$58*(44/C57)^0.5)</f>
        <v>12.480072611542791</v>
      </c>
      <c r="F57" s="514">
        <f>IF(B57*D57=0,0,((1/E57)+(('GW-1 Exp'!$E$58*'GW-1 Exp'!$M$58)/(B57*D57)))^-1)</f>
        <v>11.462187634683701</v>
      </c>
      <c r="G57" s="514">
        <f>F57*(('GW-1 Exp'!$H$58*'GW-1 Exp'!$J$58)/('GW-1 Exp'!$N$58*'GW-1 Exp'!$I$58))^-0.5</f>
        <v>15.483102691094508</v>
      </c>
      <c r="H57" s="514">
        <f>(1-EXP((-1*G57*'GW-1 Exp'!$D$58)/(60*'GW-1 Exp'!$C$58)))</f>
        <v>0.40315833769477361</v>
      </c>
      <c r="I57" s="515">
        <f>H57*'GW-1 Exp'!$P$58/'GW-1 Exp'!$Q$58</f>
        <v>0.67193056282462271</v>
      </c>
      <c r="J57" s="516">
        <f>(('GW-1 Inhale'!$I57)/('GW-1 Exp'!$R$58))*('GW-1 Exp'!$S$48+(EXP(-1*'GW-1 Exp'!$R$58*'GW-1 Exp'!$T$48)/'GW-1 Exp'!$R$58)-(EXP('GW-1 Exp'!$R$58*('GW-1 Exp'!$S$48-'GW-1 Exp'!$T$48))/'GW-1 Exp'!$R$58))*('GW-1 Exp'!$U$48*'GW-1 Exp'!$V$48*'GW-1 Exp'!$W$48*'GW-1 Exp'!$X$48*'GW-1 Exp'!$AB$58/'GW-1 Exp'!$Y$48)</f>
        <v>0.4398939808939164</v>
      </c>
      <c r="K57" s="517">
        <f>(('GW-1 Inhale'!$I57)/('GW-1 Exp'!$R$58))*('GW-1 Exp'!$S$56+(EXP(-1*'GW-1 Exp'!$R$58*'GW-1 Exp'!$T$56)/'GW-1 Exp'!$R$58)-(EXP('GW-1 Exp'!$R$58*('GW-1 Exp'!$S$56-'GW-1 Exp'!$T$56))/'GW-1 Exp'!$R$58))*('GW-1 Exp'!$U$56*'GW-1 Exp'!$V$56*'GW-1 Exp'!$W$56*'GW-1 Exp'!$X$56*'GW-1 Exp'!$AB$58/'GW-1 Exp'!$Y$56)</f>
        <v>0.32319500153649922</v>
      </c>
      <c r="L57" s="517">
        <f xml:space="preserve"> IF(VLOOKUP(A57,[1]!TOX,36,FALSE)="M",((((('GW-1 Inhale'!$I57)/('GW-1 Exp'!$R$63))*('GW-1 Exp'!$S$63+(EXP(-1*'GW-1 Exp'!$R$63*'GW-1 Exp'!$T$63)/'GW-1 Exp'!$R$63)-(EXP('GW-1 Exp'!$R$63*('GW-1 Exp'!$S$63-'GW-1 Exp'!$T$63))/'GW-1 Exp'!$R$63))*('GW-1 Exp'!$U$63*'GW-1 Exp'!$V$63*'GW-1 Exp'!$W$63*'GW-1 Exp'!$X$63*'GW-1 Exp'!$AB$63/'GW-1 Exp'!$Y$63)*10))+(((('GW-1 Inhale'!$I57)/('GW-1 Exp'!$R$64))*('GW-1 Exp'!$S$64+(EXP(-1*'GW-1 Exp'!$R$64*'GW-1 Exp'!$T$64)/'GW-1 Exp'!$R$64)-(EXP('GW-1 Exp'!$R$64*('GW-1 Exp'!$S$64-'GW-1 Exp'!$T$64))/'GW-1 Exp'!$R$64))*('GW-1 Exp'!$U$64*'GW-1 Exp'!$V$64*'GW-1 Exp'!$W$64*'GW-1 Exp'!$X$64*'GW-1 Exp'!$AB$64/'GW-1 Exp'!$Y$64))*3)+(((('GW-1 Inhale'!$I57)/('GW-1 Exp'!$R$65))*('GW-1 Exp'!$S$65+(EXP(-1*'GW-1 Exp'!$R$65*'GW-1 Exp'!$T$65)/'GW-1 Exp'!$R$65)-(EXP('GW-1 Exp'!$R$65*('GW-1 Exp'!$S$65-'GW-1 Exp'!$T$65))/'GW-1 Exp'!$R$65))*('GW-1 Exp'!$U$65*'GW-1 Exp'!$V$65*'GW-1 Exp'!$W$65*'GW-1 Exp'!$X$65*'GW-1 Exp'!$AB$65/'GW-1 Exp'!$Y$65))*3)+(((('GW-1 Inhale'!$I57)/('GW-1 Exp'!$R$66))*('GW-1 Exp'!$S$66+(EXP(-1*'GW-1 Exp'!$R$66*'GW-1 Exp'!$T$66)/'GW-1 Exp'!$R$66)-(EXP('GW-1 Exp'!$R$66*('GW-1 Exp'!$S$66-'GW-1 Exp'!$T$66))/'GW-1 Exp'!$R$66))*('GW-1 Exp'!$U$66*'GW-1 Exp'!$V$66*'GW-1 Exp'!$W$66*'GW-1 Exp'!$X$66*'GW-1 Exp'!$AB$66/'GW-1 Exp'!$Y$66))*1)),0)</f>
        <v>0</v>
      </c>
      <c r="M57" s="518">
        <f>IF(OR((VLOOKUP(A57,[1]!TOX,8,FALSE))=0,J57=0),0,'[1]Target Risk'!$D$8*(VLOOKUP(A57,[1]!TOX,8,FALSE))*'GW-1 Exp'!$Z$58/(VLOOKUP(A57,DWInhale,10,FALSE)))</f>
        <v>1.8186200192471509</v>
      </c>
      <c r="N57" s="519">
        <f>IF(OR(K57=0,(VLOOKUP(A57,[1]!TOX,15,FALSE))=0),0,IF(VLOOKUP(A57,[1]!TOX,36,FALSE)="M",'[1]Target Risk'!$D$12/((VLOOKUP(A57,[1]!TOX,15,FALSE))*(VLOOKUP(A57,DWInhale,12,FALSE))), '[1]Target Risk'!$D$12/((VLOOKUP(A57,[1]!TOX,15,FALSE))*(VLOOKUP(A57,DWInhale,11,FALSE)))))</f>
        <v>0.1628477504204984</v>
      </c>
      <c r="O57" s="520">
        <f>IF(OR(VLOOKUP(A57,[1]!TOX,15,FALSE)=0, NOT(VLOOKUP(A57,[1]!TOX,36,FALSE)="M")),0,'[1]Target Risk'!$D$12/(VLOOKUP(A57,[1]!TOX,15,FALSE)*VLOOKUP(A57,DWInhale,12,FALSE)))</f>
        <v>0</v>
      </c>
    </row>
    <row r="58" spans="1:15" x14ac:dyDescent="0.25">
      <c r="A58" s="510" t="s">
        <v>209</v>
      </c>
      <c r="B58" s="511">
        <f>(VLOOKUP(A58,[1]!TOX,54,FALSE))</f>
        <v>3.5500000000000002E-3</v>
      </c>
      <c r="C58" s="512">
        <f>(VLOOKUP(A58,[1]!TOX,57,FALSE))</f>
        <v>111</v>
      </c>
      <c r="D58" s="513">
        <f>IF(C58=0,0,'GW-1 Exp'!$F$58*(18/C58)^0.5)</f>
        <v>1208.0808993852438</v>
      </c>
      <c r="E58" s="514">
        <f>IF(C58=0,0,'GW-1 Exp'!$G$58*(44/C58)^0.5)</f>
        <v>12.592003754707136</v>
      </c>
      <c r="F58" s="514">
        <f>IF(B58*D58=0,0,((1/E58)+(('GW-1 Exp'!$E$58*'GW-1 Exp'!$M$58)/(B58*D58)))^-1)</f>
        <v>11.762262268055212</v>
      </c>
      <c r="G58" s="514">
        <f>F58*(('GW-1 Exp'!$H$58*'GW-1 Exp'!$J$58)/('GW-1 Exp'!$N$58*'GW-1 Exp'!$I$58))^-0.5</f>
        <v>15.888442972684816</v>
      </c>
      <c r="H58" s="514">
        <f>(1-EXP((-1*G58*'GW-1 Exp'!$D$58)/(60*'GW-1 Exp'!$C$58)))</f>
        <v>0.41116823584953688</v>
      </c>
      <c r="I58" s="515">
        <f>H58*'GW-1 Exp'!$P$58/'GW-1 Exp'!$Q$58</f>
        <v>0.68528039308256139</v>
      </c>
      <c r="J58" s="516">
        <f>(('GW-1 Inhale'!$I58)/('GW-1 Exp'!$R$58))*('GW-1 Exp'!$S$48+(EXP(-1*'GW-1 Exp'!$R$58*'GW-1 Exp'!$T$48)/'GW-1 Exp'!$R$58)-(EXP('GW-1 Exp'!$R$58*('GW-1 Exp'!$S$48-'GW-1 Exp'!$T$48))/'GW-1 Exp'!$R$58))*('GW-1 Exp'!$U$48*'GW-1 Exp'!$V$48*'GW-1 Exp'!$W$48*'GW-1 Exp'!$X$48*'GW-1 Exp'!$AB$58/'GW-1 Exp'!$Y$48)</f>
        <v>0.44863373809700618</v>
      </c>
      <c r="K58" s="517">
        <f>(('GW-1 Inhale'!$I58)/('GW-1 Exp'!$R$58))*('GW-1 Exp'!$S$56+(EXP(-1*'GW-1 Exp'!$R$58*'GW-1 Exp'!$T$56)/'GW-1 Exp'!$R$58)-(EXP('GW-1 Exp'!$R$58*('GW-1 Exp'!$S$56-'GW-1 Exp'!$T$56))/'GW-1 Exp'!$R$58))*('GW-1 Exp'!$U$56*'GW-1 Exp'!$V$56*'GW-1 Exp'!$W$56*'GW-1 Exp'!$X$56*'GW-1 Exp'!$AB$58/'GW-1 Exp'!$Y$56)</f>
        <v>0.32961619838247841</v>
      </c>
      <c r="L58" s="517">
        <f xml:space="preserve"> IF(VLOOKUP(A58,[1]!TOX,36,FALSE)="M",((((('GW-1 Inhale'!$I58)/('GW-1 Exp'!$R$63))*('GW-1 Exp'!$S$63+(EXP(-1*'GW-1 Exp'!$R$63*'GW-1 Exp'!$T$63)/'GW-1 Exp'!$R$63)-(EXP('GW-1 Exp'!$R$63*('GW-1 Exp'!$S$63-'GW-1 Exp'!$T$63))/'GW-1 Exp'!$R$63))*('GW-1 Exp'!$U$63*'GW-1 Exp'!$V$63*'GW-1 Exp'!$W$63*'GW-1 Exp'!$X$63*'GW-1 Exp'!$AB$63/'GW-1 Exp'!$Y$63)*10))+(((('GW-1 Inhale'!$I58)/('GW-1 Exp'!$R$64))*('GW-1 Exp'!$S$64+(EXP(-1*'GW-1 Exp'!$R$64*'GW-1 Exp'!$T$64)/'GW-1 Exp'!$R$64)-(EXP('GW-1 Exp'!$R$64*('GW-1 Exp'!$S$64-'GW-1 Exp'!$T$64))/'GW-1 Exp'!$R$64))*('GW-1 Exp'!$U$64*'GW-1 Exp'!$V$64*'GW-1 Exp'!$W$64*'GW-1 Exp'!$X$64*'GW-1 Exp'!$AB$64/'GW-1 Exp'!$Y$64))*3)+(((('GW-1 Inhale'!$I58)/('GW-1 Exp'!$R$65))*('GW-1 Exp'!$S$65+(EXP(-1*'GW-1 Exp'!$R$65*'GW-1 Exp'!$T$65)/'GW-1 Exp'!$R$65)-(EXP('GW-1 Exp'!$R$65*('GW-1 Exp'!$S$65-'GW-1 Exp'!$T$65))/'GW-1 Exp'!$R$65))*('GW-1 Exp'!$U$65*'GW-1 Exp'!$V$65*'GW-1 Exp'!$W$65*'GW-1 Exp'!$X$65*'GW-1 Exp'!$AB$65/'GW-1 Exp'!$Y$65))*3)+(((('GW-1 Inhale'!$I58)/('GW-1 Exp'!$R$66))*('GW-1 Exp'!$S$66+(EXP(-1*'GW-1 Exp'!$R$66*'GW-1 Exp'!$T$66)/'GW-1 Exp'!$R$66)-(EXP('GW-1 Exp'!$R$66*('GW-1 Exp'!$S$66-'GW-1 Exp'!$T$66))/'GW-1 Exp'!$R$66))*('GW-1 Exp'!$U$66*'GW-1 Exp'!$V$66*'GW-1 Exp'!$W$66*'GW-1 Exp'!$X$66*'GW-1 Exp'!$AB$66/'GW-1 Exp'!$Y$66))*1)),0)</f>
        <v>0</v>
      </c>
      <c r="M58" s="518">
        <f>IF(OR((VLOOKUP(A58,[1]!TOX,8,FALSE))=0,J58=0),0,'[1]Target Risk'!$D$8*(VLOOKUP(A58,[1]!TOX,8,FALSE))*'GW-1 Exp'!$Z$58/(VLOOKUP(A58,DWInhale,10,FALSE)))</f>
        <v>8.9159589668111341</v>
      </c>
      <c r="N58" s="519">
        <f>IF(OR(K58=0,(VLOOKUP(A58,[1]!TOX,15,FALSE))=0),0,IF(VLOOKUP(A58,[1]!TOX,36,FALSE)="M",'[1]Target Risk'!$D$12/((VLOOKUP(A58,[1]!TOX,15,FALSE))*(VLOOKUP(A58,DWInhale,12,FALSE))), '[1]Target Risk'!$D$12/((VLOOKUP(A58,[1]!TOX,15,FALSE))*(VLOOKUP(A58,DWInhale,11,FALSE)))))</f>
        <v>0.75845787078068971</v>
      </c>
      <c r="O58" s="520">
        <f>IF(OR(VLOOKUP(A58,[1]!TOX,15,FALSE)=0, NOT(VLOOKUP(A58,[1]!TOX,36,FALSE)="M")),0,'[1]Target Risk'!$D$12/(VLOOKUP(A58,[1]!TOX,15,FALSE)*VLOOKUP(A58,DWInhale,12,FALSE)))</f>
        <v>0</v>
      </c>
    </row>
    <row r="59" spans="1:15" x14ac:dyDescent="0.25">
      <c r="A59" s="510" t="s">
        <v>210</v>
      </c>
      <c r="B59" s="511">
        <f>(VLOOKUP(A59,[1]!TOX,54,FALSE))</f>
        <v>1.0000000000000001E-5</v>
      </c>
      <c r="C59" s="512">
        <f>(VLOOKUP(A59,[1]!TOX,57,FALSE))</f>
        <v>381</v>
      </c>
      <c r="D59" s="513">
        <f>IF(C59=0,0,'GW-1 Exp'!$F$58*(18/C59)^0.5)</f>
        <v>652.07120040199652</v>
      </c>
      <c r="E59" s="514">
        <f>IF(C59=0,0,'GW-1 Exp'!$G$58*(44/C59)^0.5)</f>
        <v>6.7966334108722375</v>
      </c>
      <c r="F59" s="514">
        <f>IF(B59*D59=0,0,((1/E59)+(('GW-1 Exp'!$E$58*'GW-1 Exp'!$M$58)/(B59*D59)))^-1)</f>
        <v>0.26098085933072929</v>
      </c>
      <c r="G59" s="514">
        <f>F59*(('GW-1 Exp'!$H$58*'GW-1 Exp'!$J$58)/('GW-1 Exp'!$N$58*'GW-1 Exp'!$I$58))^-0.5</f>
        <v>0.35253248107722829</v>
      </c>
      <c r="H59" s="514">
        <f>(1-EXP((-1*G59*'GW-1 Exp'!$D$58)/(60*'GW-1 Exp'!$C$58)))</f>
        <v>1.1682308384727835E-2</v>
      </c>
      <c r="I59" s="515">
        <f>H59*'GW-1 Exp'!$P$58/'GW-1 Exp'!$Q$58</f>
        <v>1.9470513974546393E-2</v>
      </c>
      <c r="J59" s="516">
        <f>(('GW-1 Inhale'!$I59)/('GW-1 Exp'!$R$58))*('GW-1 Exp'!$S$48+(EXP(-1*'GW-1 Exp'!$R$58*'GW-1 Exp'!$T$48)/'GW-1 Exp'!$R$58)-(EXP('GW-1 Exp'!$R$58*('GW-1 Exp'!$S$48-'GW-1 Exp'!$T$48))/'GW-1 Exp'!$R$58))*('GW-1 Exp'!$U$48*'GW-1 Exp'!$V$48*'GW-1 Exp'!$W$48*'GW-1 Exp'!$X$48*'GW-1 Exp'!$AB$58/'GW-1 Exp'!$Y$48)</f>
        <v>1.2746796136655776E-2</v>
      </c>
      <c r="K59" s="517">
        <f>(('GW-1 Inhale'!$I59)/('GW-1 Exp'!$R$58))*('GW-1 Exp'!$S$56+(EXP(-1*'GW-1 Exp'!$R$58*'GW-1 Exp'!$T$56)/'GW-1 Exp'!$R$58)-(EXP('GW-1 Exp'!$R$58*('GW-1 Exp'!$S$56-'GW-1 Exp'!$T$56))/'GW-1 Exp'!$R$58))*('GW-1 Exp'!$U$56*'GW-1 Exp'!$V$56*'GW-1 Exp'!$W$56*'GW-1 Exp'!$X$56*'GW-1 Exp'!$AB$58/'GW-1 Exp'!$Y$56)</f>
        <v>9.3652129283519382E-3</v>
      </c>
      <c r="L59" s="517">
        <f xml:space="preserve"> IF(VLOOKUP(A59,[1]!TOX,36,FALSE)="M",((((('GW-1 Inhale'!$I59)/('GW-1 Exp'!$R$63))*('GW-1 Exp'!$S$63+(EXP(-1*'GW-1 Exp'!$R$63*'GW-1 Exp'!$T$63)/'GW-1 Exp'!$R$63)-(EXP('GW-1 Exp'!$R$63*('GW-1 Exp'!$S$63-'GW-1 Exp'!$T$63))/'GW-1 Exp'!$R$63))*('GW-1 Exp'!$U$63*'GW-1 Exp'!$V$63*'GW-1 Exp'!$W$63*'GW-1 Exp'!$X$63*'GW-1 Exp'!$AB$63/'GW-1 Exp'!$Y$63)*10))+(((('GW-1 Inhale'!$I59)/('GW-1 Exp'!$R$64))*('GW-1 Exp'!$S$64+(EXP(-1*'GW-1 Exp'!$R$64*'GW-1 Exp'!$T$64)/'GW-1 Exp'!$R$64)-(EXP('GW-1 Exp'!$R$64*('GW-1 Exp'!$S$64-'GW-1 Exp'!$T$64))/'GW-1 Exp'!$R$64))*('GW-1 Exp'!$U$64*'GW-1 Exp'!$V$64*'GW-1 Exp'!$W$64*'GW-1 Exp'!$X$64*'GW-1 Exp'!$AB$64/'GW-1 Exp'!$Y$64))*3)+(((('GW-1 Inhale'!$I59)/('GW-1 Exp'!$R$65))*('GW-1 Exp'!$S$65+(EXP(-1*'GW-1 Exp'!$R$65*'GW-1 Exp'!$T$65)/'GW-1 Exp'!$R$65)-(EXP('GW-1 Exp'!$R$65*('GW-1 Exp'!$S$65-'GW-1 Exp'!$T$65))/'GW-1 Exp'!$R$65))*('GW-1 Exp'!$U$65*'GW-1 Exp'!$V$65*'GW-1 Exp'!$W$65*'GW-1 Exp'!$X$65*'GW-1 Exp'!$AB$65/'GW-1 Exp'!$Y$65))*3)+(((('GW-1 Inhale'!$I59)/('GW-1 Exp'!$R$66))*('GW-1 Exp'!$S$66+(EXP(-1*'GW-1 Exp'!$R$66*'GW-1 Exp'!$T$66)/'GW-1 Exp'!$R$66)-(EXP('GW-1 Exp'!$R$66*('GW-1 Exp'!$S$66-'GW-1 Exp'!$T$66))/'GW-1 Exp'!$R$66))*('GW-1 Exp'!$U$66*'GW-1 Exp'!$V$66*'GW-1 Exp'!$W$66*'GW-1 Exp'!$X$66*'GW-1 Exp'!$AB$66/'GW-1 Exp'!$Y$66))*1)),0)</f>
        <v>0</v>
      </c>
      <c r="M59" s="518">
        <f>IF(OR((VLOOKUP(A59,[1]!TOX,8,FALSE))=0,J59=0),0,'[1]Target Risk'!$D$8*(VLOOKUP(A59,[1]!TOX,8,FALSE))*'GW-1 Exp'!$Z$58/(VLOOKUP(A59,DWInhale,10,FALSE)))</f>
        <v>2.8242390961659241</v>
      </c>
      <c r="N59" s="519">
        <f>IF(OR(K59=0,(VLOOKUP(A59,[1]!TOX,15,FALSE))=0),0,IF(VLOOKUP(A59,[1]!TOX,36,FALSE)="M",'[1]Target Risk'!$D$12/((VLOOKUP(A59,[1]!TOX,15,FALSE))*(VLOOKUP(A59,DWInhale,12,FALSE))), '[1]Target Risk'!$D$12/((VLOOKUP(A59,[1]!TOX,15,FALSE))*(VLOOKUP(A59,DWInhale,11,FALSE)))))</f>
        <v>2.3212638731331222E-2</v>
      </c>
      <c r="O59" s="520">
        <f>IF(OR(VLOOKUP(A59,[1]!TOX,15,FALSE)=0, NOT(VLOOKUP(A59,[1]!TOX,36,FALSE)="M")),0,'[1]Target Risk'!$D$12/(VLOOKUP(A59,[1]!TOX,15,FALSE)*VLOOKUP(A59,DWInhale,12,FALSE)))</f>
        <v>0</v>
      </c>
    </row>
    <row r="60" spans="1:15" x14ac:dyDescent="0.25">
      <c r="A60" s="510" t="s">
        <v>211</v>
      </c>
      <c r="B60" s="511">
        <f>(VLOOKUP(A60,[1]!TOX,54,FALSE))</f>
        <v>6.0999999999999998E-7</v>
      </c>
      <c r="C60" s="512">
        <f>(VLOOKUP(A60,[1]!TOX,57,FALSE))</f>
        <v>222</v>
      </c>
      <c r="D60" s="513">
        <f>IF(C60=0,0,'GW-1 Exp'!$F$58*(18/C60)^0.5)</f>
        <v>854.24219617724918</v>
      </c>
      <c r="E60" s="514">
        <f>IF(C60=0,0,'GW-1 Exp'!$G$58*(44/C60)^0.5)</f>
        <v>8.9038912436798832</v>
      </c>
      <c r="F60" s="514">
        <f>IF(B60*D60=0,0,((1/E60)+(('GW-1 Exp'!$E$58*'GW-1 Exp'!$M$58)/(B60*D60)))^-1)</f>
        <v>2.1635791863486416E-2</v>
      </c>
      <c r="G60" s="514">
        <f>F60*(('GW-1 Exp'!$H$58*'GW-1 Exp'!$J$58)/('GW-1 Exp'!$N$58*'GW-1 Exp'!$I$58))^-0.5</f>
        <v>2.9225589207059879E-2</v>
      </c>
      <c r="H60" s="514">
        <f>(1-EXP((-1*G60*'GW-1 Exp'!$D$58)/(60*'GW-1 Exp'!$C$58)))</f>
        <v>9.7371194147433116E-4</v>
      </c>
      <c r="I60" s="515">
        <f>H60*'GW-1 Exp'!$P$58/'GW-1 Exp'!$Q$58</f>
        <v>1.6228532357905519E-3</v>
      </c>
      <c r="J60" s="516">
        <f>(('GW-1 Inhale'!$I60)/('GW-1 Exp'!$R$58))*('GW-1 Exp'!$S$48+(EXP(-1*'GW-1 Exp'!$R$58*'GW-1 Exp'!$T$48)/'GW-1 Exp'!$R$58)-(EXP('GW-1 Exp'!$R$58*('GW-1 Exp'!$S$48-'GW-1 Exp'!$T$48))/'GW-1 Exp'!$R$58))*('GW-1 Exp'!$U$48*'GW-1 Exp'!$V$48*'GW-1 Exp'!$W$48*'GW-1 Exp'!$X$48*'GW-1 Exp'!$AB$58/'GW-1 Exp'!$Y$48)</f>
        <v>1.062436224507333E-3</v>
      </c>
      <c r="K60" s="517">
        <f>(('GW-1 Inhale'!$I60)/('GW-1 Exp'!$R$58))*('GW-1 Exp'!$S$56+(EXP(-1*'GW-1 Exp'!$R$58*'GW-1 Exp'!$T$56)/'GW-1 Exp'!$R$58)-(EXP('GW-1 Exp'!$R$58*('GW-1 Exp'!$S$56-'GW-1 Exp'!$T$56))/'GW-1 Exp'!$R$58))*('GW-1 Exp'!$U$56*'GW-1 Exp'!$V$56*'GW-1 Exp'!$W$56*'GW-1 Exp'!$X$56*'GW-1 Exp'!$AB$58/'GW-1 Exp'!$Y$56)</f>
        <v>7.8058371363550676E-4</v>
      </c>
      <c r="L60" s="517">
        <f xml:space="preserve"> IF(VLOOKUP(A60,[1]!TOX,36,FALSE)="M",((((('GW-1 Inhale'!$I60)/('GW-1 Exp'!$R$63))*('GW-1 Exp'!$S$63+(EXP(-1*'GW-1 Exp'!$R$63*'GW-1 Exp'!$T$63)/'GW-1 Exp'!$R$63)-(EXP('GW-1 Exp'!$R$63*('GW-1 Exp'!$S$63-'GW-1 Exp'!$T$63))/'GW-1 Exp'!$R$63))*('GW-1 Exp'!$U$63*'GW-1 Exp'!$V$63*'GW-1 Exp'!$W$63*'GW-1 Exp'!$X$63*'GW-1 Exp'!$AB$63/'GW-1 Exp'!$Y$63)*10))+(((('GW-1 Inhale'!$I60)/('GW-1 Exp'!$R$64))*('GW-1 Exp'!$S$64+(EXP(-1*'GW-1 Exp'!$R$64*'GW-1 Exp'!$T$64)/'GW-1 Exp'!$R$64)-(EXP('GW-1 Exp'!$R$64*('GW-1 Exp'!$S$64-'GW-1 Exp'!$T$64))/'GW-1 Exp'!$R$64))*('GW-1 Exp'!$U$64*'GW-1 Exp'!$V$64*'GW-1 Exp'!$W$64*'GW-1 Exp'!$X$64*'GW-1 Exp'!$AB$64/'GW-1 Exp'!$Y$64))*3)+(((('GW-1 Inhale'!$I60)/('GW-1 Exp'!$R$65))*('GW-1 Exp'!$S$65+(EXP(-1*'GW-1 Exp'!$R$65*'GW-1 Exp'!$T$65)/'GW-1 Exp'!$R$65)-(EXP('GW-1 Exp'!$R$65*('GW-1 Exp'!$S$65-'GW-1 Exp'!$T$65))/'GW-1 Exp'!$R$65))*('GW-1 Exp'!$U$65*'GW-1 Exp'!$V$65*'GW-1 Exp'!$W$65*'GW-1 Exp'!$X$65*'GW-1 Exp'!$AB$65/'GW-1 Exp'!$Y$65))*3)+(((('GW-1 Inhale'!$I60)/('GW-1 Exp'!$R$66))*('GW-1 Exp'!$S$66+(EXP(-1*'GW-1 Exp'!$R$66*'GW-1 Exp'!$T$66)/'GW-1 Exp'!$R$66)-(EXP('GW-1 Exp'!$R$66*('GW-1 Exp'!$S$66-'GW-1 Exp'!$T$66))/'GW-1 Exp'!$R$66))*('GW-1 Exp'!$U$66*'GW-1 Exp'!$V$66*'GW-1 Exp'!$W$66*'GW-1 Exp'!$X$66*'GW-1 Exp'!$AB$66/'GW-1 Exp'!$Y$66))*1)),0)</f>
        <v>0</v>
      </c>
      <c r="M60" s="518">
        <f>IF(OR((VLOOKUP(A60,[1]!TOX,8,FALSE))=0,J60=0),0,'[1]Target Risk'!$D$8*(VLOOKUP(A60,[1]!TOX,8,FALSE))*'GW-1 Exp'!$Z$58/(VLOOKUP(A60,DWInhale,10,FALSE)))</f>
        <v>527090.46160364116</v>
      </c>
      <c r="N60" s="519">
        <f>IF(OR(K60=0,(VLOOKUP(A60,[1]!TOX,15,FALSE))=0),0,IF(VLOOKUP(A60,[1]!TOX,36,FALSE)="M",'[1]Target Risk'!$D$12/((VLOOKUP(A60,[1]!TOX,15,FALSE))*(VLOOKUP(A60,DWInhale,12,FALSE))), '[1]Target Risk'!$D$12/((VLOOKUP(A60,[1]!TOX,15,FALSE))*(VLOOKUP(A60,DWInhale,11,FALSE)))))</f>
        <v>0</v>
      </c>
      <c r="O60" s="520">
        <f>IF(OR(VLOOKUP(A60,[1]!TOX,15,FALSE)=0, NOT(VLOOKUP(A60,[1]!TOX,36,FALSE)="M")),0,'[1]Target Risk'!$D$12/(VLOOKUP(A60,[1]!TOX,15,FALSE)*VLOOKUP(A60,DWInhale,12,FALSE)))</f>
        <v>0</v>
      </c>
    </row>
    <row r="61" spans="1:15" x14ac:dyDescent="0.25">
      <c r="A61" s="510" t="s">
        <v>212</v>
      </c>
      <c r="B61" s="511">
        <f>(VLOOKUP(A61,[1]!TOX,54,FALSE))</f>
        <v>1.97E-7</v>
      </c>
      <c r="C61" s="512">
        <f>(VLOOKUP(A61,[1]!TOX,57,FALSE))</f>
        <v>194</v>
      </c>
      <c r="D61" s="513">
        <f>IF(C61=0,0,'GW-1 Exp'!$F$58*(18/C61)^0.5)</f>
        <v>913.81154862025721</v>
      </c>
      <c r="E61" s="514">
        <f>IF(C61=0,0,'GW-1 Exp'!$G$58*(44/C61)^0.5)</f>
        <v>9.5247913092380188</v>
      </c>
      <c r="F61" s="514">
        <f>IF(B61*D61=0,0,((1/E61)+(('GW-1 Exp'!$E$58*'GW-1 Exp'!$M$58)/(B61*D61)))^-1)</f>
        <v>7.4868630460140258E-3</v>
      </c>
      <c r="G61" s="514">
        <f>F61*(('GW-1 Exp'!$H$58*'GW-1 Exp'!$J$58)/('GW-1 Exp'!$N$58*'GW-1 Exp'!$I$58))^-0.5</f>
        <v>1.0113241300014245E-2</v>
      </c>
      <c r="H61" s="514">
        <f>(1-EXP((-1*G61*'GW-1 Exp'!$D$58)/(60*'GW-1 Exp'!$C$58)))</f>
        <v>3.3705122880178795E-4</v>
      </c>
      <c r="I61" s="515">
        <f>H61*'GW-1 Exp'!$P$58/'GW-1 Exp'!$Q$58</f>
        <v>5.6175204800297995E-4</v>
      </c>
      <c r="J61" s="516">
        <f>(('GW-1 Inhale'!$I61)/('GW-1 Exp'!$R$58))*('GW-1 Exp'!$S$48+(EXP(-1*'GW-1 Exp'!$R$58*'GW-1 Exp'!$T$48)/'GW-1 Exp'!$R$58)-(EXP('GW-1 Exp'!$R$58*('GW-1 Exp'!$S$48-'GW-1 Exp'!$T$48))/'GW-1 Exp'!$R$58))*('GW-1 Exp'!$U$48*'GW-1 Exp'!$V$48*'GW-1 Exp'!$W$48*'GW-1 Exp'!$X$48*'GW-1 Exp'!$AB$58/'GW-1 Exp'!$Y$48)</f>
        <v>3.6776321593789241E-4</v>
      </c>
      <c r="K61" s="517">
        <f>(('GW-1 Inhale'!$I61)/('GW-1 Exp'!$R$58))*('GW-1 Exp'!$S$56+(EXP(-1*'GW-1 Exp'!$R$58*'GW-1 Exp'!$T$56)/'GW-1 Exp'!$R$58)-(EXP('GW-1 Exp'!$R$58*('GW-1 Exp'!$S$56-'GW-1 Exp'!$T$56))/'GW-1 Exp'!$R$58))*('GW-1 Exp'!$U$56*'GW-1 Exp'!$V$56*'GW-1 Exp'!$W$56*'GW-1 Exp'!$X$56*'GW-1 Exp'!$AB$58/'GW-1 Exp'!$Y$56)</f>
        <v>2.7019972607622193E-4</v>
      </c>
      <c r="L61" s="517">
        <f xml:space="preserve"> IF(VLOOKUP(A61,[1]!TOX,36,FALSE)="M",((((('GW-1 Inhale'!$I61)/('GW-1 Exp'!$R$63))*('GW-1 Exp'!$S$63+(EXP(-1*'GW-1 Exp'!$R$63*'GW-1 Exp'!$T$63)/'GW-1 Exp'!$R$63)-(EXP('GW-1 Exp'!$R$63*('GW-1 Exp'!$S$63-'GW-1 Exp'!$T$63))/'GW-1 Exp'!$R$63))*('GW-1 Exp'!$U$63*'GW-1 Exp'!$V$63*'GW-1 Exp'!$W$63*'GW-1 Exp'!$X$63*'GW-1 Exp'!$AB$63/'GW-1 Exp'!$Y$63)*10))+(((('GW-1 Inhale'!$I61)/('GW-1 Exp'!$R$64))*('GW-1 Exp'!$S$64+(EXP(-1*'GW-1 Exp'!$R$64*'GW-1 Exp'!$T$64)/'GW-1 Exp'!$R$64)-(EXP('GW-1 Exp'!$R$64*('GW-1 Exp'!$S$64-'GW-1 Exp'!$T$64))/'GW-1 Exp'!$R$64))*('GW-1 Exp'!$U$64*'GW-1 Exp'!$V$64*'GW-1 Exp'!$W$64*'GW-1 Exp'!$X$64*'GW-1 Exp'!$AB$64/'GW-1 Exp'!$Y$64))*3)+(((('GW-1 Inhale'!$I61)/('GW-1 Exp'!$R$65))*('GW-1 Exp'!$S$65+(EXP(-1*'GW-1 Exp'!$R$65*'GW-1 Exp'!$T$65)/'GW-1 Exp'!$R$65)-(EXP('GW-1 Exp'!$R$65*('GW-1 Exp'!$S$65-'GW-1 Exp'!$T$65))/'GW-1 Exp'!$R$65))*('GW-1 Exp'!$U$65*'GW-1 Exp'!$V$65*'GW-1 Exp'!$W$65*'GW-1 Exp'!$X$65*'GW-1 Exp'!$AB$65/'GW-1 Exp'!$Y$65))*3)+(((('GW-1 Inhale'!$I61)/('GW-1 Exp'!$R$66))*('GW-1 Exp'!$S$66+(EXP(-1*'GW-1 Exp'!$R$66*'GW-1 Exp'!$T$66)/'GW-1 Exp'!$R$66)-(EXP('GW-1 Exp'!$R$66*('GW-1 Exp'!$S$66-'GW-1 Exp'!$T$66))/'GW-1 Exp'!$R$66))*('GW-1 Exp'!$U$66*'GW-1 Exp'!$V$66*'GW-1 Exp'!$W$66*'GW-1 Exp'!$X$66*'GW-1 Exp'!$AB$66/'GW-1 Exp'!$Y$66))*1)),0)</f>
        <v>0</v>
      </c>
      <c r="M61" s="518">
        <f>IF(OR((VLOOKUP(A61,[1]!TOX,8,FALSE))=0,J61=0),0,'[1]Target Risk'!$D$8*(VLOOKUP(A61,[1]!TOX,8,FALSE))*'GW-1 Exp'!$Z$58/(VLOOKUP(A61,DWInhale,10,FALSE)))</f>
        <v>217531.27157097287</v>
      </c>
      <c r="N61" s="519">
        <f>IF(OR(K61=0,(VLOOKUP(A61,[1]!TOX,15,FALSE))=0),0,IF(VLOOKUP(A61,[1]!TOX,36,FALSE)="M",'[1]Target Risk'!$D$12/((VLOOKUP(A61,[1]!TOX,15,FALSE))*(VLOOKUP(A61,DWInhale,12,FALSE))), '[1]Target Risk'!$D$12/((VLOOKUP(A61,[1]!TOX,15,FALSE))*(VLOOKUP(A61,DWInhale,11,FALSE)))))</f>
        <v>0</v>
      </c>
      <c r="O61" s="520">
        <f>IF(OR(VLOOKUP(A61,[1]!TOX,15,FALSE)=0, NOT(VLOOKUP(A61,[1]!TOX,36,FALSE)="M")),0,'[1]Target Risk'!$D$12/(VLOOKUP(A61,[1]!TOX,15,FALSE)*VLOOKUP(A61,DWInhale,12,FALSE)))</f>
        <v>0</v>
      </c>
    </row>
    <row r="62" spans="1:15" x14ac:dyDescent="0.25">
      <c r="A62" s="510" t="s">
        <v>213</v>
      </c>
      <c r="B62" s="511">
        <f>(VLOOKUP(A62,[1]!TOX,54,FALSE))</f>
        <v>9.5099999999999998E-7</v>
      </c>
      <c r="C62" s="512">
        <f>(VLOOKUP(A62,[1]!TOX,57,FALSE))</f>
        <v>122</v>
      </c>
      <c r="D62" s="513">
        <f>IF(C62=0,0,'GW-1 Exp'!$F$58*(18/C62)^0.5)</f>
        <v>1152.3319193960638</v>
      </c>
      <c r="E62" s="514">
        <f>IF(C62=0,0,'GW-1 Exp'!$G$58*(44/C62)^0.5)</f>
        <v>12.01092398951751</v>
      </c>
      <c r="F62" s="514">
        <f>IF(B62*D62=0,0,((1/E62)+(('GW-1 Exp'!$E$58*'GW-1 Exp'!$M$58)/(B62*D62)))^-1)</f>
        <v>4.5439183322020085E-2</v>
      </c>
      <c r="G62" s="514">
        <f>F62*(('GW-1 Exp'!$H$58*'GW-1 Exp'!$J$58)/('GW-1 Exp'!$N$58*'GW-1 Exp'!$I$58))^-0.5</f>
        <v>6.1379168095752432E-2</v>
      </c>
      <c r="H62" s="514">
        <f>(1-EXP((-1*G62*'GW-1 Exp'!$D$58)/(60*'GW-1 Exp'!$C$58)))</f>
        <v>2.043880695271616E-3</v>
      </c>
      <c r="I62" s="515">
        <f>H62*'GW-1 Exp'!$P$58/'GW-1 Exp'!$Q$58</f>
        <v>3.4064678254526934E-3</v>
      </c>
      <c r="J62" s="516">
        <f>(('GW-1 Inhale'!$I62)/('GW-1 Exp'!$R$58))*('GW-1 Exp'!$S$48+(EXP(-1*'GW-1 Exp'!$R$58*'GW-1 Exp'!$T$48)/'GW-1 Exp'!$R$58)-(EXP('GW-1 Exp'!$R$58*('GW-1 Exp'!$S$48-'GW-1 Exp'!$T$48))/'GW-1 Exp'!$R$58))*('GW-1 Exp'!$U$48*'GW-1 Exp'!$V$48*'GW-1 Exp'!$W$48*'GW-1 Exp'!$X$48*'GW-1 Exp'!$AB$58/'GW-1 Exp'!$Y$48)</f>
        <v>2.2301183714968776E-3</v>
      </c>
      <c r="K62" s="517">
        <f>(('GW-1 Inhale'!$I62)/('GW-1 Exp'!$R$58))*('GW-1 Exp'!$S$56+(EXP(-1*'GW-1 Exp'!$R$58*'GW-1 Exp'!$T$56)/'GW-1 Exp'!$R$58)-(EXP('GW-1 Exp'!$R$58*('GW-1 Exp'!$S$56-'GW-1 Exp'!$T$56))/'GW-1 Exp'!$R$58))*('GW-1 Exp'!$U$56*'GW-1 Exp'!$V$56*'GW-1 Exp'!$W$56*'GW-1 Exp'!$X$56*'GW-1 Exp'!$AB$58/'GW-1 Exp'!$Y$56)</f>
        <v>1.6384927773683852E-3</v>
      </c>
      <c r="L62" s="517">
        <f xml:space="preserve"> IF(VLOOKUP(A62,[1]!TOX,36,FALSE)="M",((((('GW-1 Inhale'!$I62)/('GW-1 Exp'!$R$63))*('GW-1 Exp'!$S$63+(EXP(-1*'GW-1 Exp'!$R$63*'GW-1 Exp'!$T$63)/'GW-1 Exp'!$R$63)-(EXP('GW-1 Exp'!$R$63*('GW-1 Exp'!$S$63-'GW-1 Exp'!$T$63))/'GW-1 Exp'!$R$63))*('GW-1 Exp'!$U$63*'GW-1 Exp'!$V$63*'GW-1 Exp'!$W$63*'GW-1 Exp'!$X$63*'GW-1 Exp'!$AB$63/'GW-1 Exp'!$Y$63)*10))+(((('GW-1 Inhale'!$I62)/('GW-1 Exp'!$R$64))*('GW-1 Exp'!$S$64+(EXP(-1*'GW-1 Exp'!$R$64*'GW-1 Exp'!$T$64)/'GW-1 Exp'!$R$64)-(EXP('GW-1 Exp'!$R$64*('GW-1 Exp'!$S$64-'GW-1 Exp'!$T$64))/'GW-1 Exp'!$R$64))*('GW-1 Exp'!$U$64*'GW-1 Exp'!$V$64*'GW-1 Exp'!$W$64*'GW-1 Exp'!$X$64*'GW-1 Exp'!$AB$64/'GW-1 Exp'!$Y$64))*3)+(((('GW-1 Inhale'!$I62)/('GW-1 Exp'!$R$65))*('GW-1 Exp'!$S$65+(EXP(-1*'GW-1 Exp'!$R$65*'GW-1 Exp'!$T$65)/'GW-1 Exp'!$R$65)-(EXP('GW-1 Exp'!$R$65*('GW-1 Exp'!$S$65-'GW-1 Exp'!$T$65))/'GW-1 Exp'!$R$65))*('GW-1 Exp'!$U$65*'GW-1 Exp'!$V$65*'GW-1 Exp'!$W$65*'GW-1 Exp'!$X$65*'GW-1 Exp'!$AB$65/'GW-1 Exp'!$Y$65))*3)+(((('GW-1 Inhale'!$I62)/('GW-1 Exp'!$R$66))*('GW-1 Exp'!$S$66+(EXP(-1*'GW-1 Exp'!$R$66*'GW-1 Exp'!$T$66)/'GW-1 Exp'!$R$66)-(EXP('GW-1 Exp'!$R$66*('GW-1 Exp'!$S$66-'GW-1 Exp'!$T$66))/'GW-1 Exp'!$R$66))*('GW-1 Exp'!$U$66*'GW-1 Exp'!$V$66*'GW-1 Exp'!$W$66*'GW-1 Exp'!$X$66*'GW-1 Exp'!$AB$66/'GW-1 Exp'!$Y$66))*1)),0)</f>
        <v>0</v>
      </c>
      <c r="M62" s="518">
        <f>IF(OR((VLOOKUP(A62,[1]!TOX,8,FALSE))=0,J62=0),0,'[1]Target Risk'!$D$8*(VLOOKUP(A62,[1]!TOX,8,FALSE))*'GW-1 Exp'!$Z$58/(VLOOKUP(A62,DWInhale,10,FALSE)))</f>
        <v>6277.6936771311657</v>
      </c>
      <c r="N62" s="519">
        <f>IF(OR(K62=0,(VLOOKUP(A62,[1]!TOX,15,FALSE))=0),0,IF(VLOOKUP(A62,[1]!TOX,36,FALSE)="M",'[1]Target Risk'!$D$12/((VLOOKUP(A62,[1]!TOX,15,FALSE))*(VLOOKUP(A62,DWInhale,12,FALSE))), '[1]Target Risk'!$D$12/((VLOOKUP(A62,[1]!TOX,15,FALSE))*(VLOOKUP(A62,DWInhale,11,FALSE)))))</f>
        <v>0</v>
      </c>
      <c r="O62" s="520">
        <f>IF(OR(VLOOKUP(A62,[1]!TOX,15,FALSE)=0, NOT(VLOOKUP(A62,[1]!TOX,36,FALSE)="M")),0,'[1]Target Risk'!$D$12/(VLOOKUP(A62,[1]!TOX,15,FALSE)*VLOOKUP(A62,DWInhale,12,FALSE)))</f>
        <v>0</v>
      </c>
    </row>
    <row r="63" spans="1:15" x14ac:dyDescent="0.25">
      <c r="A63" s="510" t="s">
        <v>214</v>
      </c>
      <c r="B63" s="511">
        <f>(VLOOKUP(A63,[1]!TOX,54,FALSE))</f>
        <v>8.6000000000000002E-8</v>
      </c>
      <c r="C63" s="512">
        <f>(VLOOKUP(A63,[1]!TOX,57,FALSE))</f>
        <v>184</v>
      </c>
      <c r="D63" s="513">
        <f>IF(C63=0,0,'GW-1 Exp'!$F$58*(18/C63)^0.5)</f>
        <v>938.31486325683636</v>
      </c>
      <c r="E63" s="514">
        <f>IF(C63=0,0,'GW-1 Exp'!$G$58*(44/C63)^0.5)</f>
        <v>9.7801929384365156</v>
      </c>
      <c r="F63" s="514">
        <f>IF(B63*D63=0,0,((1/E63)+(('GW-1 Exp'!$E$58*'GW-1 Exp'!$M$58)/(B63*D63)))^-1)</f>
        <v>3.3575033681810403E-3</v>
      </c>
      <c r="G63" s="514">
        <f>F63*(('GW-1 Exp'!$H$58*'GW-1 Exp'!$J$58)/('GW-1 Exp'!$N$58*'GW-1 Exp'!$I$58))^-0.5</f>
        <v>4.5353095841793251E-3</v>
      </c>
      <c r="H63" s="514">
        <f>(1-EXP((-1*G63*'GW-1 Exp'!$D$58)/(60*'GW-1 Exp'!$C$58)))</f>
        <v>1.5116555947458643E-4</v>
      </c>
      <c r="I63" s="515">
        <f>H63*'GW-1 Exp'!$P$58/'GW-1 Exp'!$Q$58</f>
        <v>2.5194259912431072E-4</v>
      </c>
      <c r="J63" s="516">
        <f>(('GW-1 Inhale'!$I63)/('GW-1 Exp'!$R$58))*('GW-1 Exp'!$S$48+(EXP(-1*'GW-1 Exp'!$R$58*'GW-1 Exp'!$T$48)/'GW-1 Exp'!$R$58)-(EXP('GW-1 Exp'!$R$58*('GW-1 Exp'!$S$48-'GW-1 Exp'!$T$48))/'GW-1 Exp'!$R$58))*('GW-1 Exp'!$U$48*'GW-1 Exp'!$V$48*'GW-1 Exp'!$W$48*'GW-1 Exp'!$X$48*'GW-1 Exp'!$AB$58/'GW-1 Exp'!$Y$48)</f>
        <v>1.6493971106130479E-4</v>
      </c>
      <c r="K63" s="517">
        <f>(('GW-1 Inhale'!$I63)/('GW-1 Exp'!$R$58))*('GW-1 Exp'!$S$56+(EXP(-1*'GW-1 Exp'!$R$58*'GW-1 Exp'!$T$56)/'GW-1 Exp'!$R$58)-(EXP('GW-1 Exp'!$R$58*('GW-1 Exp'!$S$56-'GW-1 Exp'!$T$56))/'GW-1 Exp'!$R$58))*('GW-1 Exp'!$U$56*'GW-1 Exp'!$V$56*'GW-1 Exp'!$W$56*'GW-1 Exp'!$X$56*'GW-1 Exp'!$AB$58/'GW-1 Exp'!$Y$56)</f>
        <v>1.211830406534789E-4</v>
      </c>
      <c r="L63" s="517">
        <f xml:space="preserve"> IF(VLOOKUP(A63,[1]!TOX,36,FALSE)="M",((((('GW-1 Inhale'!$I63)/('GW-1 Exp'!$R$63))*('GW-1 Exp'!$S$63+(EXP(-1*'GW-1 Exp'!$R$63*'GW-1 Exp'!$T$63)/'GW-1 Exp'!$R$63)-(EXP('GW-1 Exp'!$R$63*('GW-1 Exp'!$S$63-'GW-1 Exp'!$T$63))/'GW-1 Exp'!$R$63))*('GW-1 Exp'!$U$63*'GW-1 Exp'!$V$63*'GW-1 Exp'!$W$63*'GW-1 Exp'!$X$63*'GW-1 Exp'!$AB$63/'GW-1 Exp'!$Y$63)*10))+(((('GW-1 Inhale'!$I63)/('GW-1 Exp'!$R$64))*('GW-1 Exp'!$S$64+(EXP(-1*'GW-1 Exp'!$R$64*'GW-1 Exp'!$T$64)/'GW-1 Exp'!$R$64)-(EXP('GW-1 Exp'!$R$64*('GW-1 Exp'!$S$64-'GW-1 Exp'!$T$64))/'GW-1 Exp'!$R$64))*('GW-1 Exp'!$U$64*'GW-1 Exp'!$V$64*'GW-1 Exp'!$W$64*'GW-1 Exp'!$X$64*'GW-1 Exp'!$AB$64/'GW-1 Exp'!$Y$64))*3)+(((('GW-1 Inhale'!$I63)/('GW-1 Exp'!$R$65))*('GW-1 Exp'!$S$65+(EXP(-1*'GW-1 Exp'!$R$65*'GW-1 Exp'!$T$65)/'GW-1 Exp'!$R$65)-(EXP('GW-1 Exp'!$R$65*('GW-1 Exp'!$S$65-'GW-1 Exp'!$T$65))/'GW-1 Exp'!$R$65))*('GW-1 Exp'!$U$65*'GW-1 Exp'!$V$65*'GW-1 Exp'!$W$65*'GW-1 Exp'!$X$65*'GW-1 Exp'!$AB$65/'GW-1 Exp'!$Y$65))*3)+(((('GW-1 Inhale'!$I63)/('GW-1 Exp'!$R$66))*('GW-1 Exp'!$S$66+(EXP(-1*'GW-1 Exp'!$R$66*'GW-1 Exp'!$T$66)/'GW-1 Exp'!$R$66)-(EXP('GW-1 Exp'!$R$66*('GW-1 Exp'!$S$66-'GW-1 Exp'!$T$66))/'GW-1 Exp'!$R$66))*('GW-1 Exp'!$U$66*'GW-1 Exp'!$V$66*'GW-1 Exp'!$W$66*'GW-1 Exp'!$X$66*'GW-1 Exp'!$AB$66/'GW-1 Exp'!$Y$66))*1)),0)</f>
        <v>0</v>
      </c>
      <c r="M63" s="518">
        <f>IF(OR((VLOOKUP(A63,[1]!TOX,8,FALSE))=0,J63=0),0,'[1]Target Risk'!$D$8*(VLOOKUP(A63,[1]!TOX,8,FALSE))*'GW-1 Exp'!$Z$58/(VLOOKUP(A63,DWInhale,10,FALSE)))</f>
        <v>8487.9498756951743</v>
      </c>
      <c r="N63" s="519">
        <f>IF(OR(K63=0,(VLOOKUP(A63,[1]!TOX,15,FALSE))=0),0,IF(VLOOKUP(A63,[1]!TOX,36,FALSE)="M",'[1]Target Risk'!$D$12/((VLOOKUP(A63,[1]!TOX,15,FALSE))*(VLOOKUP(A63,DWInhale,12,FALSE))), '[1]Target Risk'!$D$12/((VLOOKUP(A63,[1]!TOX,15,FALSE))*(VLOOKUP(A63,DWInhale,11,FALSE)))))</f>
        <v>0</v>
      </c>
      <c r="O63" s="520">
        <f>IF(OR(VLOOKUP(A63,[1]!TOX,15,FALSE)=0, NOT(VLOOKUP(A63,[1]!TOX,36,FALSE)="M")),0,'[1]Target Risk'!$D$12/(VLOOKUP(A63,[1]!TOX,15,FALSE)*VLOOKUP(A63,DWInhale,12,FALSE)))</f>
        <v>0</v>
      </c>
    </row>
    <row r="64" spans="1:15" x14ac:dyDescent="0.25">
      <c r="A64" s="510" t="s">
        <v>215</v>
      </c>
      <c r="B64" s="511">
        <f>(VLOOKUP(A64,[1]!TOX,54,FALSE))</f>
        <v>5.4E-8</v>
      </c>
      <c r="C64" s="512">
        <f>(VLOOKUP(A64,[1]!TOX,57,FALSE))</f>
        <v>182</v>
      </c>
      <c r="D64" s="513">
        <f>IF(C64=0,0,'GW-1 Exp'!$F$58*(18/C64)^0.5)</f>
        <v>943.45635304972643</v>
      </c>
      <c r="E64" s="514">
        <f>IF(C64=0,0,'GW-1 Exp'!$G$58*(44/C64)^0.5)</f>
        <v>9.8337834378888331</v>
      </c>
      <c r="F64" s="514">
        <f>IF(B64*D64=0,0,((1/E64)+(('GW-1 Exp'!$E$58*'GW-1 Exp'!$M$58)/(B64*D64)))^-1)</f>
        <v>2.1200224631734267E-3</v>
      </c>
      <c r="G64" s="514">
        <f>F64*(('GW-1 Exp'!$H$58*'GW-1 Exp'!$J$58)/('GW-1 Exp'!$N$58*'GW-1 Exp'!$I$58))^-0.5</f>
        <v>2.8637225764318141E-3</v>
      </c>
      <c r="H64" s="514">
        <f>(1-EXP((-1*G64*'GW-1 Exp'!$D$58)/(60*'GW-1 Exp'!$C$58)))</f>
        <v>9.5452863299927415E-5</v>
      </c>
      <c r="I64" s="515">
        <f>H64*'GW-1 Exp'!$P$58/'GW-1 Exp'!$Q$58</f>
        <v>1.5908810549987903E-4</v>
      </c>
      <c r="J64" s="516">
        <f>(('GW-1 Inhale'!$I64)/('GW-1 Exp'!$R$58))*('GW-1 Exp'!$S$48+(EXP(-1*'GW-1 Exp'!$R$58*'GW-1 Exp'!$T$48)/'GW-1 Exp'!$R$58)-(EXP('GW-1 Exp'!$R$58*('GW-1 Exp'!$S$48-'GW-1 Exp'!$T$48))/'GW-1 Exp'!$R$58))*('GW-1 Exp'!$U$48*'GW-1 Exp'!$V$48*'GW-1 Exp'!$W$48*'GW-1 Exp'!$X$48*'GW-1 Exp'!$AB$58/'GW-1 Exp'!$Y$48)</f>
        <v>1.0415049398412136E-4</v>
      </c>
      <c r="K64" s="517">
        <f>(('GW-1 Inhale'!$I64)/('GW-1 Exp'!$R$58))*('GW-1 Exp'!$S$56+(EXP(-1*'GW-1 Exp'!$R$58*'GW-1 Exp'!$T$56)/'GW-1 Exp'!$R$58)-(EXP('GW-1 Exp'!$R$58*('GW-1 Exp'!$S$56-'GW-1 Exp'!$T$56))/'GW-1 Exp'!$R$58))*('GW-1 Exp'!$U$56*'GW-1 Exp'!$V$56*'GW-1 Exp'!$W$56*'GW-1 Exp'!$X$56*'GW-1 Exp'!$AB$58/'GW-1 Exp'!$Y$56)</f>
        <v>7.6520526593299354E-5</v>
      </c>
      <c r="L64" s="517">
        <f xml:space="preserve"> IF(VLOOKUP(A64,[1]!TOX,36,FALSE)="M",((((('GW-1 Inhale'!$I64)/('GW-1 Exp'!$R$63))*('GW-1 Exp'!$S$63+(EXP(-1*'GW-1 Exp'!$R$63*'GW-1 Exp'!$T$63)/'GW-1 Exp'!$R$63)-(EXP('GW-1 Exp'!$R$63*('GW-1 Exp'!$S$63-'GW-1 Exp'!$T$63))/'GW-1 Exp'!$R$63))*('GW-1 Exp'!$U$63*'GW-1 Exp'!$V$63*'GW-1 Exp'!$W$63*'GW-1 Exp'!$X$63*'GW-1 Exp'!$AB$63/'GW-1 Exp'!$Y$63)*10))+(((('GW-1 Inhale'!$I64)/('GW-1 Exp'!$R$64))*('GW-1 Exp'!$S$64+(EXP(-1*'GW-1 Exp'!$R$64*'GW-1 Exp'!$T$64)/'GW-1 Exp'!$R$64)-(EXP('GW-1 Exp'!$R$64*('GW-1 Exp'!$S$64-'GW-1 Exp'!$T$64))/'GW-1 Exp'!$R$64))*('GW-1 Exp'!$U$64*'GW-1 Exp'!$V$64*'GW-1 Exp'!$W$64*'GW-1 Exp'!$X$64*'GW-1 Exp'!$AB$64/'GW-1 Exp'!$Y$64))*3)+(((('GW-1 Inhale'!$I64)/('GW-1 Exp'!$R$65))*('GW-1 Exp'!$S$65+(EXP(-1*'GW-1 Exp'!$R$65*'GW-1 Exp'!$T$65)/'GW-1 Exp'!$R$65)-(EXP('GW-1 Exp'!$R$65*('GW-1 Exp'!$S$65-'GW-1 Exp'!$T$65))/'GW-1 Exp'!$R$65))*('GW-1 Exp'!$U$65*'GW-1 Exp'!$V$65*'GW-1 Exp'!$W$65*'GW-1 Exp'!$X$65*'GW-1 Exp'!$AB$65/'GW-1 Exp'!$Y$65))*3)+(((('GW-1 Inhale'!$I64)/('GW-1 Exp'!$R$66))*('GW-1 Exp'!$S$66+(EXP(-1*'GW-1 Exp'!$R$66*'GW-1 Exp'!$T$66)/'GW-1 Exp'!$R$66)-(EXP('GW-1 Exp'!$R$66*('GW-1 Exp'!$S$66-'GW-1 Exp'!$T$66))/'GW-1 Exp'!$R$66))*('GW-1 Exp'!$U$66*'GW-1 Exp'!$V$66*'GW-1 Exp'!$W$66*'GW-1 Exp'!$X$66*'GW-1 Exp'!$AB$66/'GW-1 Exp'!$Y$66))*1)),0)</f>
        <v>0</v>
      </c>
      <c r="M64" s="518">
        <f>IF(OR((VLOOKUP(A64,[1]!TOX,8,FALSE))=0,J64=0),0,'[1]Target Risk'!$D$8*(VLOOKUP(A64,[1]!TOX,8,FALSE))*'GW-1 Exp'!$Z$58/(VLOOKUP(A64,DWInhale,10,FALSE)))</f>
        <v>13442.086988213827</v>
      </c>
      <c r="N64" s="519">
        <f>IF(OR(K64=0,(VLOOKUP(A64,[1]!TOX,15,FALSE))=0),0,IF(VLOOKUP(A64,[1]!TOX,36,FALSE)="M",'[1]Target Risk'!$D$12/((VLOOKUP(A64,[1]!TOX,15,FALSE))*(VLOOKUP(A64,DWInhale,12,FALSE))), '[1]Target Risk'!$D$12/((VLOOKUP(A64,[1]!TOX,15,FALSE))*(VLOOKUP(A64,DWInhale,11,FALSE)))))</f>
        <v>67.263766373245545</v>
      </c>
      <c r="O64" s="520">
        <f>IF(OR(VLOOKUP(A64,[1]!TOX,15,FALSE)=0, NOT(VLOOKUP(A64,[1]!TOX,36,FALSE)="M")),0,'[1]Target Risk'!$D$12/(VLOOKUP(A64,[1]!TOX,15,FALSE)*VLOOKUP(A64,DWInhale,12,FALSE)))</f>
        <v>0</v>
      </c>
    </row>
    <row r="65" spans="1:15" x14ac:dyDescent="0.25">
      <c r="A65" s="510" t="s">
        <v>343</v>
      </c>
      <c r="B65" s="511">
        <f>(VLOOKUP(A65,[1]!TOX,54,FALSE))</f>
        <v>4.7999999999999998E-6</v>
      </c>
      <c r="C65" s="512">
        <f>(VLOOKUP(A65,[1]!TOX,57,FALSE))</f>
        <v>88</v>
      </c>
      <c r="D65" s="513">
        <f>IF(C65=0,0,'GW-1 Exp'!$F$58*(18/C65)^0.5)</f>
        <v>1356.8010505999364</v>
      </c>
      <c r="E65" s="514">
        <f>IF(C65=0,0,'GW-1 Exp'!$G$58*(44/C65)^0.5)</f>
        <v>14.142135623730951</v>
      </c>
      <c r="F65" s="514">
        <f>IF(B65*D65=0,0,((1/E65)+(('GW-1 Exp'!$E$58*'GW-1 Exp'!$M$58)/(B65*D65)))^-1)</f>
        <v>0.26596865373634754</v>
      </c>
      <c r="G65" s="514">
        <f>F65*(('GW-1 Exp'!$H$58*'GW-1 Exp'!$J$58)/('GW-1 Exp'!$N$58*'GW-1 Exp'!$I$58))^-0.5</f>
        <v>0.35926998489810208</v>
      </c>
      <c r="H65" s="514">
        <f>(1-EXP((-1*G65*'GW-1 Exp'!$D$58)/(60*'GW-1 Exp'!$C$58)))</f>
        <v>1.1904243269792669E-2</v>
      </c>
      <c r="I65" s="515">
        <f>H65*'GW-1 Exp'!$P$58/'GW-1 Exp'!$Q$58</f>
        <v>1.9840405449654448E-2</v>
      </c>
      <c r="J65" s="516">
        <f>(('GW-1 Inhale'!$I65)/('GW-1 Exp'!$R$58))*('GW-1 Exp'!$S$48+(EXP(-1*'GW-1 Exp'!$R$58*'GW-1 Exp'!$T$48)/'GW-1 Exp'!$R$58)-(EXP('GW-1 Exp'!$R$58*('GW-1 Exp'!$S$48-'GW-1 Exp'!$T$48))/'GW-1 Exp'!$R$58))*('GW-1 Exp'!$U$48*'GW-1 Exp'!$V$48*'GW-1 Exp'!$W$48*'GW-1 Exp'!$X$48*'GW-1 Exp'!$AB$58/'GW-1 Exp'!$Y$48)</f>
        <v>1.2988953648884425E-2</v>
      </c>
      <c r="K65" s="517">
        <f>(('GW-1 Inhale'!$I65)/('GW-1 Exp'!$R$58))*('GW-1 Exp'!$S$56+(EXP(-1*'GW-1 Exp'!$R$58*'GW-1 Exp'!$T$56)/'GW-1 Exp'!$R$58)-(EXP('GW-1 Exp'!$R$58*('GW-1 Exp'!$S$56-'GW-1 Exp'!$T$56))/'GW-1 Exp'!$R$58))*('GW-1 Exp'!$U$56*'GW-1 Exp'!$V$56*'GW-1 Exp'!$W$56*'GW-1 Exp'!$X$56*'GW-1 Exp'!$AB$58/'GW-1 Exp'!$Y$56)</f>
        <v>9.5431287465628858E-3</v>
      </c>
      <c r="L65" s="517">
        <f xml:space="preserve"> IF(VLOOKUP(A65,[1]!TOX,36,FALSE)="M",((((('GW-1 Inhale'!$I65)/('GW-1 Exp'!$R$63))*('GW-1 Exp'!$S$63+(EXP(-1*'GW-1 Exp'!$R$63*'GW-1 Exp'!$T$63)/'GW-1 Exp'!$R$63)-(EXP('GW-1 Exp'!$R$63*('GW-1 Exp'!$S$63-'GW-1 Exp'!$T$63))/'GW-1 Exp'!$R$63))*('GW-1 Exp'!$U$63*'GW-1 Exp'!$V$63*'GW-1 Exp'!$W$63*'GW-1 Exp'!$X$63*'GW-1 Exp'!$AB$63/'GW-1 Exp'!$Y$63)*10))+(((('GW-1 Inhale'!$I65)/('GW-1 Exp'!$R$64))*('GW-1 Exp'!$S$64+(EXP(-1*'GW-1 Exp'!$R$64*'GW-1 Exp'!$T$64)/'GW-1 Exp'!$R$64)-(EXP('GW-1 Exp'!$R$64*('GW-1 Exp'!$S$64-'GW-1 Exp'!$T$64))/'GW-1 Exp'!$R$64))*('GW-1 Exp'!$U$64*'GW-1 Exp'!$V$64*'GW-1 Exp'!$W$64*'GW-1 Exp'!$X$64*'GW-1 Exp'!$AB$64/'GW-1 Exp'!$Y$64))*3)+(((('GW-1 Inhale'!$I65)/('GW-1 Exp'!$R$65))*('GW-1 Exp'!$S$65+(EXP(-1*'GW-1 Exp'!$R$65*'GW-1 Exp'!$T$65)/'GW-1 Exp'!$R$65)-(EXP('GW-1 Exp'!$R$65*('GW-1 Exp'!$S$65-'GW-1 Exp'!$T$65))/'GW-1 Exp'!$R$65))*('GW-1 Exp'!$U$65*'GW-1 Exp'!$V$65*'GW-1 Exp'!$W$65*'GW-1 Exp'!$X$65*'GW-1 Exp'!$AB$65/'GW-1 Exp'!$Y$65))*3)+(((('GW-1 Inhale'!$I65)/('GW-1 Exp'!$R$66))*('GW-1 Exp'!$S$66+(EXP(-1*'GW-1 Exp'!$R$66*'GW-1 Exp'!$T$66)/'GW-1 Exp'!$R$66)-(EXP('GW-1 Exp'!$R$66*('GW-1 Exp'!$S$66-'GW-1 Exp'!$T$66))/'GW-1 Exp'!$R$66))*('GW-1 Exp'!$U$66*'GW-1 Exp'!$V$66*'GW-1 Exp'!$W$66*'GW-1 Exp'!$X$66*'GW-1 Exp'!$AB$66/'GW-1 Exp'!$Y$66))*1)),0)</f>
        <v>0</v>
      </c>
      <c r="M65" s="518">
        <f>IF(OR((VLOOKUP(A65,[1]!TOX,8,FALSE))=0,J65=0),0,'[1]Target Risk'!$D$8*(VLOOKUP(A65,[1]!TOX,8,FALSE))*'GW-1 Exp'!$Z$58/(VLOOKUP(A65,DWInhale,10,FALSE)))</f>
        <v>461.93097320932537</v>
      </c>
      <c r="N65" s="519">
        <f>IF(OR(K65=0,(VLOOKUP(A65,[1]!TOX,15,FALSE))=0),0,IF(VLOOKUP(A65,[1]!TOX,36,FALSE)="M",'[1]Target Risk'!$D$12/((VLOOKUP(A65,[1]!TOX,15,FALSE))*(VLOOKUP(A65,DWInhale,12,FALSE))), '[1]Target Risk'!$D$12/((VLOOKUP(A65,[1]!TOX,15,FALSE))*(VLOOKUP(A65,DWInhale,11,FALSE)))))</f>
        <v>20.957487351518047</v>
      </c>
      <c r="O65" s="520">
        <f>IF(OR(VLOOKUP(A65,[1]!TOX,15,FALSE)=0, NOT(VLOOKUP(A65,[1]!TOX,36,FALSE)="M")),0,'[1]Target Risk'!$D$12/(VLOOKUP(A65,[1]!TOX,15,FALSE)*VLOOKUP(A65,DWInhale,12,FALSE)))</f>
        <v>0</v>
      </c>
    </row>
    <row r="66" spans="1:15" x14ac:dyDescent="0.25">
      <c r="A66" s="510" t="s">
        <v>216</v>
      </c>
      <c r="B66" s="511">
        <f>(VLOOKUP(A66,[1]!TOX,54,FALSE))</f>
        <v>6.4999999999999994E-5</v>
      </c>
      <c r="C66" s="512">
        <f>(VLOOKUP(A66,[1]!TOX,57,FALSE))</f>
        <v>407</v>
      </c>
      <c r="D66" s="513">
        <f>IF(C66=0,0,'GW-1 Exp'!$F$58*(18/C66)^0.5)</f>
        <v>630.89967350950337</v>
      </c>
      <c r="E66" s="514">
        <f>IF(C66=0,0,'GW-1 Exp'!$G$58*(44/C66)^0.5)</f>
        <v>6.5759594922142917</v>
      </c>
      <c r="F66" s="514">
        <f>IF(B66*D66=0,0,((1/E66)+(('GW-1 Exp'!$E$58*'GW-1 Exp'!$M$58)/(B66*D66)))^-1)</f>
        <v>1.3551092086791812</v>
      </c>
      <c r="G66" s="514">
        <f>F66*(('GW-1 Exp'!$H$58*'GW-1 Exp'!$J$58)/('GW-1 Exp'!$N$58*'GW-1 Exp'!$I$58))^-0.5</f>
        <v>1.830479111346929</v>
      </c>
      <c r="H66" s="514">
        <f>(1-EXP((-1*G66*'GW-1 Exp'!$D$58)/(60*'GW-1 Exp'!$C$58)))</f>
        <v>5.9191785406998765E-2</v>
      </c>
      <c r="I66" s="515">
        <f>H66*'GW-1 Exp'!$P$58/'GW-1 Exp'!$Q$58</f>
        <v>9.865297567833127E-2</v>
      </c>
      <c r="J66" s="516">
        <f>(('GW-1 Inhale'!$I66)/('GW-1 Exp'!$R$58))*('GW-1 Exp'!$S$48+(EXP(-1*'GW-1 Exp'!$R$58*'GW-1 Exp'!$T$48)/'GW-1 Exp'!$R$58)-(EXP('GW-1 Exp'!$R$58*('GW-1 Exp'!$S$48-'GW-1 Exp'!$T$48))/'GW-1 Exp'!$R$58))*('GW-1 Exp'!$U$48*'GW-1 Exp'!$V$48*'GW-1 Exp'!$W$48*'GW-1 Exp'!$X$48*'GW-1 Exp'!$AB$58/'GW-1 Exp'!$Y$48)</f>
        <v>6.4585319673126182E-2</v>
      </c>
      <c r="K66" s="517">
        <f>(('GW-1 Inhale'!$I66)/('GW-1 Exp'!$R$58))*('GW-1 Exp'!$S$56+(EXP(-1*'GW-1 Exp'!$R$58*'GW-1 Exp'!$T$56)/'GW-1 Exp'!$R$58)-(EXP('GW-1 Exp'!$R$58*('GW-1 Exp'!$S$56-'GW-1 Exp'!$T$56))/'GW-1 Exp'!$R$58))*('GW-1 Exp'!$U$56*'GW-1 Exp'!$V$56*'GW-1 Exp'!$W$56*'GW-1 Exp'!$X$56*'GW-1 Exp'!$AB$58/'GW-1 Exp'!$Y$56)</f>
        <v>4.745155286865619E-2</v>
      </c>
      <c r="L66" s="517">
        <f xml:space="preserve"> IF(VLOOKUP(A66,[1]!TOX,36,FALSE)="M",((((('GW-1 Inhale'!$I66)/('GW-1 Exp'!$R$63))*('GW-1 Exp'!$S$63+(EXP(-1*'GW-1 Exp'!$R$63*'GW-1 Exp'!$T$63)/'GW-1 Exp'!$R$63)-(EXP('GW-1 Exp'!$R$63*('GW-1 Exp'!$S$63-'GW-1 Exp'!$T$63))/'GW-1 Exp'!$R$63))*('GW-1 Exp'!$U$63*'GW-1 Exp'!$V$63*'GW-1 Exp'!$W$63*'GW-1 Exp'!$X$63*'GW-1 Exp'!$AB$63/'GW-1 Exp'!$Y$63)*10))+(((('GW-1 Inhale'!$I66)/('GW-1 Exp'!$R$64))*('GW-1 Exp'!$S$64+(EXP(-1*'GW-1 Exp'!$R$64*'GW-1 Exp'!$T$64)/'GW-1 Exp'!$R$64)-(EXP('GW-1 Exp'!$R$64*('GW-1 Exp'!$S$64-'GW-1 Exp'!$T$64))/'GW-1 Exp'!$R$64))*('GW-1 Exp'!$U$64*'GW-1 Exp'!$V$64*'GW-1 Exp'!$W$64*'GW-1 Exp'!$X$64*'GW-1 Exp'!$AB$64/'GW-1 Exp'!$Y$64))*3)+(((('GW-1 Inhale'!$I66)/('GW-1 Exp'!$R$65))*('GW-1 Exp'!$S$65+(EXP(-1*'GW-1 Exp'!$R$65*'GW-1 Exp'!$T$65)/'GW-1 Exp'!$R$65)-(EXP('GW-1 Exp'!$R$65*('GW-1 Exp'!$S$65-'GW-1 Exp'!$T$65))/'GW-1 Exp'!$R$65))*('GW-1 Exp'!$U$65*'GW-1 Exp'!$V$65*'GW-1 Exp'!$W$65*'GW-1 Exp'!$X$65*'GW-1 Exp'!$AB$65/'GW-1 Exp'!$Y$65))*3)+(((('GW-1 Inhale'!$I66)/('GW-1 Exp'!$R$66))*('GW-1 Exp'!$S$66+(EXP(-1*'GW-1 Exp'!$R$66*'GW-1 Exp'!$T$66)/'GW-1 Exp'!$R$66)-(EXP('GW-1 Exp'!$R$66*('GW-1 Exp'!$S$66-'GW-1 Exp'!$T$66))/'GW-1 Exp'!$R$66))*('GW-1 Exp'!$U$66*'GW-1 Exp'!$V$66*'GW-1 Exp'!$W$66*'GW-1 Exp'!$X$66*'GW-1 Exp'!$AB$66/'GW-1 Exp'!$Y$66))*1)),0)</f>
        <v>0</v>
      </c>
      <c r="M66" s="518">
        <f>IF(OR((VLOOKUP(A66,[1]!TOX,8,FALSE))=0,J66=0),0,'[1]Target Risk'!$D$8*(VLOOKUP(A66,[1]!TOX,8,FALSE))*'GW-1 Exp'!$Z$58/(VLOOKUP(A66,DWInhale,10,FALSE)))</f>
        <v>65.030257979006507</v>
      </c>
      <c r="N66" s="519">
        <f>IF(OR(K66=0,(VLOOKUP(A66,[1]!TOX,15,FALSE))=0),0,IF(VLOOKUP(A66,[1]!TOX,36,FALSE)="M",'[1]Target Risk'!$D$12/((VLOOKUP(A66,[1]!TOX,15,FALSE))*(VLOOKUP(A66,DWInhale,12,FALSE))), '[1]Target Risk'!$D$12/((VLOOKUP(A66,[1]!TOX,15,FALSE))*(VLOOKUP(A66,DWInhale,11,FALSE)))))</f>
        <v>0</v>
      </c>
      <c r="O66" s="520">
        <f>IF(OR(VLOOKUP(A66,[1]!TOX,15,FALSE)=0, NOT(VLOOKUP(A66,[1]!TOX,36,FALSE)="M")),0,'[1]Target Risk'!$D$12/(VLOOKUP(A66,[1]!TOX,15,FALSE)*VLOOKUP(A66,DWInhale,12,FALSE)))</f>
        <v>0</v>
      </c>
    </row>
    <row r="67" spans="1:15" x14ac:dyDescent="0.25">
      <c r="A67" s="510" t="s">
        <v>217</v>
      </c>
      <c r="B67" s="511">
        <f>(VLOOKUP(A67,[1]!TOX,54,FALSE))</f>
        <v>6.3600000000000001E-6</v>
      </c>
      <c r="C67" s="512">
        <f>(VLOOKUP(A67,[1]!TOX,57,FALSE))</f>
        <v>381</v>
      </c>
      <c r="D67" s="513">
        <f>IF(C67=0,0,'GW-1 Exp'!$F$58*(18/C67)^0.5)</f>
        <v>652.07120040199652</v>
      </c>
      <c r="E67" s="514">
        <f>IF(C67=0,0,'GW-1 Exp'!$G$58*(44/C67)^0.5)</f>
        <v>6.7966334108722375</v>
      </c>
      <c r="F67" s="514">
        <f>IF(B67*D67=0,0,((1/E67)+(('GW-1 Exp'!$E$58*'GW-1 Exp'!$M$58)/(B67*D67)))^-1)</f>
        <v>0.16833668039322178</v>
      </c>
      <c r="G67" s="514">
        <f>F67*(('GW-1 Exp'!$H$58*'GW-1 Exp'!$J$58)/('GW-1 Exp'!$N$58*'GW-1 Exp'!$I$58))^-0.5</f>
        <v>0.22738888877717547</v>
      </c>
      <c r="H67" s="514">
        <f>(1-EXP((-1*G67*'GW-1 Exp'!$D$58)/(60*'GW-1 Exp'!$C$58)))</f>
        <v>7.5509766719020766E-3</v>
      </c>
      <c r="I67" s="515">
        <f>H67*'GW-1 Exp'!$P$58/'GW-1 Exp'!$Q$58</f>
        <v>1.2584961119836794E-2</v>
      </c>
      <c r="J67" s="516">
        <f>(('GW-1 Inhale'!$I67)/('GW-1 Exp'!$R$58))*('GW-1 Exp'!$S$48+(EXP(-1*'GW-1 Exp'!$R$58*'GW-1 Exp'!$T$48)/'GW-1 Exp'!$R$58)-(EXP('GW-1 Exp'!$R$58*('GW-1 Exp'!$S$48-'GW-1 Exp'!$T$48))/'GW-1 Exp'!$R$58))*('GW-1 Exp'!$U$48*'GW-1 Exp'!$V$48*'GW-1 Exp'!$W$48*'GW-1 Exp'!$X$48*'GW-1 Exp'!$AB$58/'GW-1 Exp'!$Y$48)</f>
        <v>8.2390189592329993E-3</v>
      </c>
      <c r="K67" s="517">
        <f>(('GW-1 Inhale'!$I67)/('GW-1 Exp'!$R$58))*('GW-1 Exp'!$S$56+(EXP(-1*'GW-1 Exp'!$R$58*'GW-1 Exp'!$T$56)/'GW-1 Exp'!$R$58)-(EXP('GW-1 Exp'!$R$58*('GW-1 Exp'!$S$56-'GW-1 Exp'!$T$56))/'GW-1 Exp'!$R$58))*('GW-1 Exp'!$U$56*'GW-1 Exp'!$V$56*'GW-1 Exp'!$W$56*'GW-1 Exp'!$X$56*'GW-1 Exp'!$AB$58/'GW-1 Exp'!$Y$56)</f>
        <v>6.0532988875578895E-3</v>
      </c>
      <c r="L67" s="517">
        <f xml:space="preserve"> IF(VLOOKUP(A67,[1]!TOX,36,FALSE)="M",((((('GW-1 Inhale'!$I67)/('GW-1 Exp'!$R$63))*('GW-1 Exp'!$S$63+(EXP(-1*'GW-1 Exp'!$R$63*'GW-1 Exp'!$T$63)/'GW-1 Exp'!$R$63)-(EXP('GW-1 Exp'!$R$63*('GW-1 Exp'!$S$63-'GW-1 Exp'!$T$63))/'GW-1 Exp'!$R$63))*('GW-1 Exp'!$U$63*'GW-1 Exp'!$V$63*'GW-1 Exp'!$W$63*'GW-1 Exp'!$X$63*'GW-1 Exp'!$AB$63/'GW-1 Exp'!$Y$63)*10))+(((('GW-1 Inhale'!$I67)/('GW-1 Exp'!$R$64))*('GW-1 Exp'!$S$64+(EXP(-1*'GW-1 Exp'!$R$64*'GW-1 Exp'!$T$64)/'GW-1 Exp'!$R$64)-(EXP('GW-1 Exp'!$R$64*('GW-1 Exp'!$S$64-'GW-1 Exp'!$T$64))/'GW-1 Exp'!$R$64))*('GW-1 Exp'!$U$64*'GW-1 Exp'!$V$64*'GW-1 Exp'!$W$64*'GW-1 Exp'!$X$64*'GW-1 Exp'!$AB$64/'GW-1 Exp'!$Y$64))*3)+(((('GW-1 Inhale'!$I67)/('GW-1 Exp'!$R$65))*('GW-1 Exp'!$S$65+(EXP(-1*'GW-1 Exp'!$R$65*'GW-1 Exp'!$T$65)/'GW-1 Exp'!$R$65)-(EXP('GW-1 Exp'!$R$65*('GW-1 Exp'!$S$65-'GW-1 Exp'!$T$65))/'GW-1 Exp'!$R$65))*('GW-1 Exp'!$U$65*'GW-1 Exp'!$V$65*'GW-1 Exp'!$W$65*'GW-1 Exp'!$X$65*'GW-1 Exp'!$AB$65/'GW-1 Exp'!$Y$65))*3)+(((('GW-1 Inhale'!$I67)/('GW-1 Exp'!$R$66))*('GW-1 Exp'!$S$66+(EXP(-1*'GW-1 Exp'!$R$66*'GW-1 Exp'!$T$66)/'GW-1 Exp'!$R$66)-(EXP('GW-1 Exp'!$R$66*('GW-1 Exp'!$S$66-'GW-1 Exp'!$T$66))/'GW-1 Exp'!$R$66))*('GW-1 Exp'!$U$66*'GW-1 Exp'!$V$66*'GW-1 Exp'!$W$66*'GW-1 Exp'!$X$66*'GW-1 Exp'!$AB$66/'GW-1 Exp'!$Y$66))*1)),0)</f>
        <v>0</v>
      </c>
      <c r="M67" s="518">
        <f>IF(OR((VLOOKUP(A67,[1]!TOX,8,FALSE))=0,J67=0),0,'[1]Target Risk'!$D$8*(VLOOKUP(A67,[1]!TOX,8,FALSE))*'GW-1 Exp'!$Z$58/(VLOOKUP(A67,DWInhale,10,FALSE)))</f>
        <v>26.702208246948935</v>
      </c>
      <c r="N67" s="519">
        <f>IF(OR(K67=0,(VLOOKUP(A67,[1]!TOX,15,FALSE))=0),0,IF(VLOOKUP(A67,[1]!TOX,36,FALSE)="M",'[1]Target Risk'!$D$12/((VLOOKUP(A67,[1]!TOX,15,FALSE))*(VLOOKUP(A67,DWInhale,12,FALSE))), '[1]Target Risk'!$D$12/((VLOOKUP(A67,[1]!TOX,15,FALSE))*(VLOOKUP(A67,DWInhale,11,FALSE)))))</f>
        <v>0</v>
      </c>
      <c r="O67" s="520">
        <f>IF(OR(VLOOKUP(A67,[1]!TOX,15,FALSE)=0, NOT(VLOOKUP(A67,[1]!TOX,36,FALSE)="M")),0,'[1]Target Risk'!$D$12/(VLOOKUP(A67,[1]!TOX,15,FALSE)*VLOOKUP(A67,DWInhale,12,FALSE)))</f>
        <v>0</v>
      </c>
    </row>
    <row r="68" spans="1:15" x14ac:dyDescent="0.25">
      <c r="A68" s="510" t="s">
        <v>218</v>
      </c>
      <c r="B68" s="511">
        <f>(VLOOKUP(A68,[1]!TOX,54,FALSE))</f>
        <v>7.8799999999999999E-3</v>
      </c>
      <c r="C68" s="512">
        <f>(VLOOKUP(A68,[1]!TOX,57,FALSE))</f>
        <v>106</v>
      </c>
      <c r="D68" s="513">
        <f>IF(C68=0,0,'GW-1 Exp'!$F$58*(18/C68)^0.5)</f>
        <v>1236.2450755382013</v>
      </c>
      <c r="E68" s="514">
        <f>IF(C68=0,0,'GW-1 Exp'!$G$58*(44/C68)^0.5)</f>
        <v>12.885563078463299</v>
      </c>
      <c r="F68" s="514">
        <f>IF(B68*D68=0,0,((1/E68)+(('GW-1 Exp'!$E$58*'GW-1 Exp'!$M$58)/(B68*D68)))^-1)</f>
        <v>12.488672881553894</v>
      </c>
      <c r="G68" s="514">
        <f>F68*(('GW-1 Exp'!$H$58*'GW-1 Exp'!$J$58)/('GW-1 Exp'!$N$58*'GW-1 Exp'!$I$58))^-0.5</f>
        <v>16.869677138723787</v>
      </c>
      <c r="H68" s="514">
        <f>(1-EXP((-1*G68*'GW-1 Exp'!$D$58)/(60*'GW-1 Exp'!$C$58)))</f>
        <v>0.43011607046877476</v>
      </c>
      <c r="I68" s="515">
        <f>H68*'GW-1 Exp'!$P$58/'GW-1 Exp'!$Q$58</f>
        <v>0.71686011744795797</v>
      </c>
      <c r="J68" s="516">
        <f>(('GW-1 Inhale'!$I68)/('GW-1 Exp'!$R$58))*('GW-1 Exp'!$S$48+(EXP(-1*'GW-1 Exp'!$R$58*'GW-1 Exp'!$T$48)/'GW-1 Exp'!$R$58)-(EXP('GW-1 Exp'!$R$58*('GW-1 Exp'!$S$48-'GW-1 Exp'!$T$48))/'GW-1 Exp'!$R$58))*('GW-1 Exp'!$U$48*'GW-1 Exp'!$V$48*'GW-1 Exp'!$W$48*'GW-1 Exp'!$X$48*'GW-1 Exp'!$AB$58/'GW-1 Exp'!$Y$48)</f>
        <v>0.46930809261398143</v>
      </c>
      <c r="K68" s="517">
        <f>(('GW-1 Inhale'!$I68)/('GW-1 Exp'!$R$58))*('GW-1 Exp'!$S$56+(EXP(-1*'GW-1 Exp'!$R$58*'GW-1 Exp'!$T$56)/'GW-1 Exp'!$R$58)-(EXP('GW-1 Exp'!$R$58*('GW-1 Exp'!$S$56-'GW-1 Exp'!$T$56))/'GW-1 Exp'!$R$58))*('GW-1 Exp'!$U$56*'GW-1 Exp'!$V$56*'GW-1 Exp'!$W$56*'GW-1 Exp'!$X$56*'GW-1 Exp'!$AB$58/'GW-1 Exp'!$Y$56)</f>
        <v>0.34480587664609458</v>
      </c>
      <c r="L68" s="517">
        <f xml:space="preserve"> IF(VLOOKUP(A68,[1]!TOX,36,FALSE)="M",((((('GW-1 Inhale'!$I68)/('GW-1 Exp'!$R$63))*('GW-1 Exp'!$S$63+(EXP(-1*'GW-1 Exp'!$R$63*'GW-1 Exp'!$T$63)/'GW-1 Exp'!$R$63)-(EXP('GW-1 Exp'!$R$63*('GW-1 Exp'!$S$63-'GW-1 Exp'!$T$63))/'GW-1 Exp'!$R$63))*('GW-1 Exp'!$U$63*'GW-1 Exp'!$V$63*'GW-1 Exp'!$W$63*'GW-1 Exp'!$X$63*'GW-1 Exp'!$AB$63/'GW-1 Exp'!$Y$63)*10))+(((('GW-1 Inhale'!$I68)/('GW-1 Exp'!$R$64))*('GW-1 Exp'!$S$64+(EXP(-1*'GW-1 Exp'!$R$64*'GW-1 Exp'!$T$64)/'GW-1 Exp'!$R$64)-(EXP('GW-1 Exp'!$R$64*('GW-1 Exp'!$S$64-'GW-1 Exp'!$T$64))/'GW-1 Exp'!$R$64))*('GW-1 Exp'!$U$64*'GW-1 Exp'!$V$64*'GW-1 Exp'!$W$64*'GW-1 Exp'!$X$64*'GW-1 Exp'!$AB$64/'GW-1 Exp'!$Y$64))*3)+(((('GW-1 Inhale'!$I68)/('GW-1 Exp'!$R$65))*('GW-1 Exp'!$S$65+(EXP(-1*'GW-1 Exp'!$R$65*'GW-1 Exp'!$T$65)/'GW-1 Exp'!$R$65)-(EXP('GW-1 Exp'!$R$65*('GW-1 Exp'!$S$65-'GW-1 Exp'!$T$65))/'GW-1 Exp'!$R$65))*('GW-1 Exp'!$U$65*'GW-1 Exp'!$V$65*'GW-1 Exp'!$W$65*'GW-1 Exp'!$X$65*'GW-1 Exp'!$AB$65/'GW-1 Exp'!$Y$65))*3)+(((('GW-1 Inhale'!$I68)/('GW-1 Exp'!$R$66))*('GW-1 Exp'!$S$66+(EXP(-1*'GW-1 Exp'!$R$66*'GW-1 Exp'!$T$66)/'GW-1 Exp'!$R$66)-(EXP('GW-1 Exp'!$R$66*('GW-1 Exp'!$S$66-'GW-1 Exp'!$T$66))/'GW-1 Exp'!$R$66))*('GW-1 Exp'!$U$66*'GW-1 Exp'!$V$66*'GW-1 Exp'!$W$66*'GW-1 Exp'!$X$66*'GW-1 Exp'!$AB$66/'GW-1 Exp'!$Y$66))*1)),0)</f>
        <v>0</v>
      </c>
      <c r="M68" s="518">
        <f>IF(OR((VLOOKUP(A68,[1]!TOX,8,FALSE))=0,J68=0),0,'[1]Target Risk'!$D$8*(VLOOKUP(A68,[1]!TOX,8,FALSE))*'GW-1 Exp'!$Z$58/(VLOOKUP(A68,DWInhale,10,FALSE)))</f>
        <v>426.15928245777212</v>
      </c>
      <c r="N68" s="519">
        <f>IF(OR(K68=0,(VLOOKUP(A68,[1]!TOX,15,FALSE))=0),0,IF(VLOOKUP(A68,[1]!TOX,36,FALSE)="M",'[1]Target Risk'!$D$12/((VLOOKUP(A68,[1]!TOX,15,FALSE))*(VLOOKUP(A68,DWInhale,12,FALSE))), '[1]Target Risk'!$D$12/((VLOOKUP(A68,[1]!TOX,15,FALSE))*(VLOOKUP(A68,DWInhale,11,FALSE)))))</f>
        <v>0</v>
      </c>
      <c r="O68" s="520">
        <f>IF(OR(VLOOKUP(A68,[1]!TOX,15,FALSE)=0, NOT(VLOOKUP(A68,[1]!TOX,36,FALSE)="M")),0,'[1]Target Risk'!$D$12/(VLOOKUP(A68,[1]!TOX,15,FALSE)*VLOOKUP(A68,DWInhale,12,FALSE)))</f>
        <v>0</v>
      </c>
    </row>
    <row r="69" spans="1:15" x14ac:dyDescent="0.25">
      <c r="A69" s="510" t="s">
        <v>283</v>
      </c>
      <c r="B69" s="511">
        <f>(VLOOKUP(A69,[1]!TOX,54,FALSE))</f>
        <v>6.4999999999999997E-4</v>
      </c>
      <c r="C69" s="512">
        <f>(VLOOKUP(A69,[1]!TOX,57,FALSE))</f>
        <v>188</v>
      </c>
      <c r="D69" s="513">
        <f>IF(C69=0,0,'GW-1 Exp'!$F$58*(18/C69)^0.5)</f>
        <v>928.27912163291398</v>
      </c>
      <c r="E69" s="514">
        <f>IF(C69=0,0,'GW-1 Exp'!$G$58*(44/C69)^0.5)</f>
        <v>9.6755889369379346</v>
      </c>
      <c r="F69" s="514">
        <f>IF(B69*D69=0,0,((1/E69)+(('GW-1 Exp'!$E$58*'GW-1 Exp'!$M$58)/(B69*D69)))^-1)</f>
        <v>6.9846153419714883</v>
      </c>
      <c r="G69" s="514">
        <f>F69*(('GW-1 Exp'!$H$58*'GW-1 Exp'!$J$58)/('GW-1 Exp'!$N$58*'GW-1 Exp'!$I$58))^-0.5</f>
        <v>9.4348059937794719</v>
      </c>
      <c r="H69" s="514">
        <f>(1-EXP((-1*G69*'GW-1 Exp'!$D$58)/(60*'GW-1 Exp'!$C$58)))</f>
        <v>0.26984141822670005</v>
      </c>
      <c r="I69" s="515">
        <f>H69*'GW-1 Exp'!$P$58/'GW-1 Exp'!$Q$58</f>
        <v>0.44973569704450006</v>
      </c>
      <c r="J69" s="516">
        <f>(('GW-1 Inhale'!$I69)/('GW-1 Exp'!$R$58))*('GW-1 Exp'!$S$48+(EXP(-1*'GW-1 Exp'!$R$58*'GW-1 Exp'!$T$48)/'GW-1 Exp'!$R$58)-(EXP('GW-1 Exp'!$R$58*('GW-1 Exp'!$S$48-'GW-1 Exp'!$T$48))/'GW-1 Exp'!$R$58))*('GW-1 Exp'!$U$48*'GW-1 Exp'!$V$48*'GW-1 Exp'!$W$48*'GW-1 Exp'!$X$48*'GW-1 Exp'!$AB$58/'GW-1 Exp'!$Y$48)</f>
        <v>0.29442927151780962</v>
      </c>
      <c r="K69" s="517">
        <f>(('GW-1 Inhale'!$I69)/('GW-1 Exp'!$R$58))*('GW-1 Exp'!$S$56+(EXP(-1*'GW-1 Exp'!$R$58*'GW-1 Exp'!$T$56)/'GW-1 Exp'!$R$58)-(EXP('GW-1 Exp'!$R$58*('GW-1 Exp'!$S$56-'GW-1 Exp'!$T$56))/'GW-1 Exp'!$R$58))*('GW-1 Exp'!$U$56*'GW-1 Exp'!$V$56*'GW-1 Exp'!$W$56*'GW-1 Exp'!$X$56*'GW-1 Exp'!$AB$58/'GW-1 Exp'!$Y$56)</f>
        <v>0.21632046127845714</v>
      </c>
      <c r="L69" s="517">
        <f xml:space="preserve"> IF(VLOOKUP(A69,[1]!TOX,36,FALSE)="M",((((('GW-1 Inhale'!$I69)/('GW-1 Exp'!$R$63))*('GW-1 Exp'!$S$63+(EXP(-1*'GW-1 Exp'!$R$63*'GW-1 Exp'!$T$63)/'GW-1 Exp'!$R$63)-(EXP('GW-1 Exp'!$R$63*('GW-1 Exp'!$S$63-'GW-1 Exp'!$T$63))/'GW-1 Exp'!$R$63))*('GW-1 Exp'!$U$63*'GW-1 Exp'!$V$63*'GW-1 Exp'!$W$63*'GW-1 Exp'!$X$63*'GW-1 Exp'!$AB$63/'GW-1 Exp'!$Y$63)*10))+(((('GW-1 Inhale'!$I69)/('GW-1 Exp'!$R$64))*('GW-1 Exp'!$S$64+(EXP(-1*'GW-1 Exp'!$R$64*'GW-1 Exp'!$T$64)/'GW-1 Exp'!$R$64)-(EXP('GW-1 Exp'!$R$64*('GW-1 Exp'!$S$64-'GW-1 Exp'!$T$64))/'GW-1 Exp'!$R$64))*('GW-1 Exp'!$U$64*'GW-1 Exp'!$V$64*'GW-1 Exp'!$W$64*'GW-1 Exp'!$X$64*'GW-1 Exp'!$AB$64/'GW-1 Exp'!$Y$64))*3)+(((('GW-1 Inhale'!$I69)/('GW-1 Exp'!$R$65))*('GW-1 Exp'!$S$65+(EXP(-1*'GW-1 Exp'!$R$65*'GW-1 Exp'!$T$65)/'GW-1 Exp'!$R$65)-(EXP('GW-1 Exp'!$R$65*('GW-1 Exp'!$S$65-'GW-1 Exp'!$T$65))/'GW-1 Exp'!$R$65))*('GW-1 Exp'!$U$65*'GW-1 Exp'!$V$65*'GW-1 Exp'!$W$65*'GW-1 Exp'!$X$65*'GW-1 Exp'!$AB$65/'GW-1 Exp'!$Y$65))*3)+(((('GW-1 Inhale'!$I69)/('GW-1 Exp'!$R$66))*('GW-1 Exp'!$S$66+(EXP(-1*'GW-1 Exp'!$R$66*'GW-1 Exp'!$T$66)/'GW-1 Exp'!$R$66)-(EXP('GW-1 Exp'!$R$66*('GW-1 Exp'!$S$66-'GW-1 Exp'!$T$66))/'GW-1 Exp'!$R$66))*('GW-1 Exp'!$U$66*'GW-1 Exp'!$V$66*'GW-1 Exp'!$W$66*'GW-1 Exp'!$X$66*'GW-1 Exp'!$AB$66/'GW-1 Exp'!$Y$66))*1)),0)</f>
        <v>0</v>
      </c>
      <c r="M69" s="518">
        <f>IF(OR((VLOOKUP(A69,[1]!TOX,8,FALSE))=0,J69=0),0,'[1]Target Risk'!$D$8*(VLOOKUP(A69,[1]!TOX,8,FALSE))*'GW-1 Exp'!$Z$58/(VLOOKUP(A69,DWInhale,10,FALSE)))</f>
        <v>6.1135225812326226</v>
      </c>
      <c r="N69" s="519">
        <f>IF(OR(K69=0,(VLOOKUP(A69,[1]!TOX,15,FALSE))=0),0,IF(VLOOKUP(A69,[1]!TOX,36,FALSE)="M",'[1]Target Risk'!$D$12/((VLOOKUP(A69,[1]!TOX,15,FALSE))*(VLOOKUP(A69,DWInhale,12,FALSE))), '[1]Target Risk'!$D$12/((VLOOKUP(A69,[1]!TOX,15,FALSE))*(VLOOKUP(A69,DWInhale,11,FALSE)))))</f>
        <v>1.5409237358469394E-2</v>
      </c>
      <c r="O69" s="520">
        <f>IF(OR(VLOOKUP(A69,[1]!TOX,15,FALSE)=0, NOT(VLOOKUP(A69,[1]!TOX,36,FALSE)="M")),0,'[1]Target Risk'!$D$12/(VLOOKUP(A69,[1]!TOX,15,FALSE)*VLOOKUP(A69,DWInhale,12,FALSE)))</f>
        <v>0</v>
      </c>
    </row>
    <row r="70" spans="1:15" x14ac:dyDescent="0.25">
      <c r="A70" s="510" t="s">
        <v>219</v>
      </c>
      <c r="B70" s="511">
        <f>(VLOOKUP(A70,[1]!TOX,54,FALSE))</f>
        <v>8.8599999999999999E-6</v>
      </c>
      <c r="C70" s="512">
        <f>(VLOOKUP(A70,[1]!TOX,57,FALSE))</f>
        <v>202</v>
      </c>
      <c r="D70" s="513">
        <f>IF(C70=0,0,'GW-1 Exp'!$F$58*(18/C70)^0.5)</f>
        <v>895.53347118899023</v>
      </c>
      <c r="E70" s="514">
        <f>IF(C70=0,0,'GW-1 Exp'!$G$58*(44/C70)^0.5)</f>
        <v>9.3342762371427135</v>
      </c>
      <c r="F70" s="514">
        <f>IF(B70*D70=0,0,((1/E70)+(('GW-1 Exp'!$E$58*'GW-1 Exp'!$M$58)/(B70*D70)))^-1)</f>
        <v>0.31895869855790099</v>
      </c>
      <c r="G70" s="514">
        <f>F70*(('GW-1 Exp'!$H$58*'GW-1 Exp'!$J$58)/('GW-1 Exp'!$N$58*'GW-1 Exp'!$I$58))^-0.5</f>
        <v>0.43084884329117124</v>
      </c>
      <c r="H70" s="514">
        <f>(1-EXP((-1*G70*'GW-1 Exp'!$D$58)/(60*'GW-1 Exp'!$C$58)))</f>
        <v>1.4258991857428183E-2</v>
      </c>
      <c r="I70" s="515">
        <f>H70*'GW-1 Exp'!$P$58/'GW-1 Exp'!$Q$58</f>
        <v>2.376498642904697E-2</v>
      </c>
      <c r="J70" s="516">
        <f>(('GW-1 Inhale'!$I70)/('GW-1 Exp'!$R$58))*('GW-1 Exp'!$S$48+(EXP(-1*'GW-1 Exp'!$R$58*'GW-1 Exp'!$T$48)/'GW-1 Exp'!$R$58)-(EXP('GW-1 Exp'!$R$58*('GW-1 Exp'!$S$48-'GW-1 Exp'!$T$48))/'GW-1 Exp'!$R$58))*('GW-1 Exp'!$U$48*'GW-1 Exp'!$V$48*'GW-1 Exp'!$W$48*'GW-1 Exp'!$X$48*'GW-1 Exp'!$AB$58/'GW-1 Exp'!$Y$48)</f>
        <v>1.5558266083651767E-2</v>
      </c>
      <c r="K70" s="517">
        <f>(('GW-1 Inhale'!$I70)/('GW-1 Exp'!$R$58))*('GW-1 Exp'!$S$56+(EXP(-1*'GW-1 Exp'!$R$58*'GW-1 Exp'!$T$56)/'GW-1 Exp'!$R$58)-(EXP('GW-1 Exp'!$R$58*('GW-1 Exp'!$S$56-'GW-1 Exp'!$T$56))/'GW-1 Exp'!$R$58))*('GW-1 Exp'!$U$56*'GW-1 Exp'!$V$56*'GW-1 Exp'!$W$56*'GW-1 Exp'!$X$56*'GW-1 Exp'!$AB$58/'GW-1 Exp'!$Y$56)</f>
        <v>1.1430831175713951E-2</v>
      </c>
      <c r="L70" s="517">
        <f xml:space="preserve"> IF(VLOOKUP(A70,[1]!TOX,36,FALSE)="M",((((('GW-1 Inhale'!$I70)/('GW-1 Exp'!$R$63))*('GW-1 Exp'!$S$63+(EXP(-1*'GW-1 Exp'!$R$63*'GW-1 Exp'!$T$63)/'GW-1 Exp'!$R$63)-(EXP('GW-1 Exp'!$R$63*('GW-1 Exp'!$S$63-'GW-1 Exp'!$T$63))/'GW-1 Exp'!$R$63))*('GW-1 Exp'!$U$63*'GW-1 Exp'!$V$63*'GW-1 Exp'!$W$63*'GW-1 Exp'!$X$63*'GW-1 Exp'!$AB$63/'GW-1 Exp'!$Y$63)*10))+(((('GW-1 Inhale'!$I70)/('GW-1 Exp'!$R$64))*('GW-1 Exp'!$S$64+(EXP(-1*'GW-1 Exp'!$R$64*'GW-1 Exp'!$T$64)/'GW-1 Exp'!$R$64)-(EXP('GW-1 Exp'!$R$64*('GW-1 Exp'!$S$64-'GW-1 Exp'!$T$64))/'GW-1 Exp'!$R$64))*('GW-1 Exp'!$U$64*'GW-1 Exp'!$V$64*'GW-1 Exp'!$W$64*'GW-1 Exp'!$X$64*'GW-1 Exp'!$AB$64/'GW-1 Exp'!$Y$64))*3)+(((('GW-1 Inhale'!$I70)/('GW-1 Exp'!$R$65))*('GW-1 Exp'!$S$65+(EXP(-1*'GW-1 Exp'!$R$65*'GW-1 Exp'!$T$65)/'GW-1 Exp'!$R$65)-(EXP('GW-1 Exp'!$R$65*('GW-1 Exp'!$S$65-'GW-1 Exp'!$T$65))/'GW-1 Exp'!$R$65))*('GW-1 Exp'!$U$65*'GW-1 Exp'!$V$65*'GW-1 Exp'!$W$65*'GW-1 Exp'!$X$65*'GW-1 Exp'!$AB$65/'GW-1 Exp'!$Y$65))*3)+(((('GW-1 Inhale'!$I70)/('GW-1 Exp'!$R$66))*('GW-1 Exp'!$S$66+(EXP(-1*'GW-1 Exp'!$R$66*'GW-1 Exp'!$T$66)/'GW-1 Exp'!$R$66)-(EXP('GW-1 Exp'!$R$66*('GW-1 Exp'!$S$66-'GW-1 Exp'!$T$66))/'GW-1 Exp'!$R$66))*('GW-1 Exp'!$U$66*'GW-1 Exp'!$V$66*'GW-1 Exp'!$W$66*'GW-1 Exp'!$X$66*'GW-1 Exp'!$AB$66/'GW-1 Exp'!$Y$66))*1)),0)</f>
        <v>0</v>
      </c>
      <c r="M70" s="518">
        <f>IF(OR((VLOOKUP(A70,[1]!TOX,8,FALSE))=0,J70=0),0,'[1]Target Risk'!$D$8*(VLOOKUP(A70,[1]!TOX,8,FALSE))*'GW-1 Exp'!$Z$58/(VLOOKUP(A70,DWInhale,10,FALSE)))</f>
        <v>642.74514565011521</v>
      </c>
      <c r="N70" s="519">
        <f>IF(OR(K70=0,(VLOOKUP(A70,[1]!TOX,15,FALSE))=0),0,IF(VLOOKUP(A70,[1]!TOX,36,FALSE)="M",'[1]Target Risk'!$D$12/((VLOOKUP(A70,[1]!TOX,15,FALSE))*(VLOOKUP(A70,DWInhale,12,FALSE))), '[1]Target Risk'!$D$12/((VLOOKUP(A70,[1]!TOX,15,FALSE))*(VLOOKUP(A70,DWInhale,11,FALSE)))))</f>
        <v>0</v>
      </c>
      <c r="O70" s="520">
        <f>IF(OR(VLOOKUP(A70,[1]!TOX,15,FALSE)=0, NOT(VLOOKUP(A70,[1]!TOX,36,FALSE)="M")),0,'[1]Target Risk'!$D$12/(VLOOKUP(A70,[1]!TOX,15,FALSE)*VLOOKUP(A70,DWInhale,12,FALSE)))</f>
        <v>0</v>
      </c>
    </row>
    <row r="71" spans="1:15" x14ac:dyDescent="0.25">
      <c r="A71" s="510" t="s">
        <v>220</v>
      </c>
      <c r="B71" s="511">
        <f>(VLOOKUP(A71,[1]!TOX,54,FALSE))</f>
        <v>9.6199999999999994E-5</v>
      </c>
      <c r="C71" s="512">
        <f>(VLOOKUP(A71,[1]!TOX,57,FALSE))</f>
        <v>166</v>
      </c>
      <c r="D71" s="513">
        <f>IF(C71=0,0,'GW-1 Exp'!$F$58*(18/C71)^0.5)</f>
        <v>987.8783399072131</v>
      </c>
      <c r="E71" s="514">
        <f>IF(C71=0,0,'GW-1 Exp'!$G$58*(44/C71)^0.5)</f>
        <v>10.296800298419999</v>
      </c>
      <c r="F71" s="514">
        <f>IF(B71*D71=0,0,((1/E71)+(('GW-1 Exp'!$E$58*'GW-1 Exp'!$M$58)/(B71*D71)))^-1)</f>
        <v>2.8576931164155948</v>
      </c>
      <c r="G71" s="514">
        <f>F71*(('GW-1 Exp'!$H$58*'GW-1 Exp'!$J$58)/('GW-1 Exp'!$N$58*'GW-1 Exp'!$I$58))^-0.5</f>
        <v>3.8601667841496221</v>
      </c>
      <c r="H71" s="514">
        <f>(1-EXP((-1*G71*'GW-1 Exp'!$D$58)/(60*'GW-1 Exp'!$C$58)))</f>
        <v>0.12073788254166162</v>
      </c>
      <c r="I71" s="515">
        <f>H71*'GW-1 Exp'!$P$58/'GW-1 Exp'!$Q$58</f>
        <v>0.20122980423610271</v>
      </c>
      <c r="J71" s="516">
        <f>(('GW-1 Inhale'!$I71)/('GW-1 Exp'!$R$58))*('GW-1 Exp'!$S$48+(EXP(-1*'GW-1 Exp'!$R$58*'GW-1 Exp'!$T$48)/'GW-1 Exp'!$R$58)-(EXP('GW-1 Exp'!$R$58*('GW-1 Exp'!$S$48-'GW-1 Exp'!$T$48))/'GW-1 Exp'!$R$58))*('GW-1 Exp'!$U$48*'GW-1 Exp'!$V$48*'GW-1 Exp'!$W$48*'GW-1 Exp'!$X$48*'GW-1 Exp'!$AB$58/'GW-1 Exp'!$Y$48)</f>
        <v>0.13173947511452433</v>
      </c>
      <c r="K71" s="517">
        <f>(('GW-1 Inhale'!$I71)/('GW-1 Exp'!$R$58))*('GW-1 Exp'!$S$56+(EXP(-1*'GW-1 Exp'!$R$58*'GW-1 Exp'!$T$56)/'GW-1 Exp'!$R$58)-(EXP('GW-1 Exp'!$R$58*('GW-1 Exp'!$S$56-'GW-1 Exp'!$T$56))/'GW-1 Exp'!$R$58))*('GW-1 Exp'!$U$56*'GW-1 Exp'!$V$56*'GW-1 Exp'!$W$56*'GW-1 Exp'!$X$56*'GW-1 Exp'!$AB$58/'GW-1 Exp'!$Y$56)</f>
        <v>9.679045795428641E-2</v>
      </c>
      <c r="L71" s="517">
        <f xml:space="preserve"> IF(VLOOKUP(A71,[1]!TOX,36,FALSE)="M",((((('GW-1 Inhale'!$I71)/('GW-1 Exp'!$R$63))*('GW-1 Exp'!$S$63+(EXP(-1*'GW-1 Exp'!$R$63*'GW-1 Exp'!$T$63)/'GW-1 Exp'!$R$63)-(EXP('GW-1 Exp'!$R$63*('GW-1 Exp'!$S$63-'GW-1 Exp'!$T$63))/'GW-1 Exp'!$R$63))*('GW-1 Exp'!$U$63*'GW-1 Exp'!$V$63*'GW-1 Exp'!$W$63*'GW-1 Exp'!$X$63*'GW-1 Exp'!$AB$63/'GW-1 Exp'!$Y$63)*10))+(((('GW-1 Inhale'!$I71)/('GW-1 Exp'!$R$64))*('GW-1 Exp'!$S$64+(EXP(-1*'GW-1 Exp'!$R$64*'GW-1 Exp'!$T$64)/'GW-1 Exp'!$R$64)-(EXP('GW-1 Exp'!$R$64*('GW-1 Exp'!$S$64-'GW-1 Exp'!$T$64))/'GW-1 Exp'!$R$64))*('GW-1 Exp'!$U$64*'GW-1 Exp'!$V$64*'GW-1 Exp'!$W$64*'GW-1 Exp'!$X$64*'GW-1 Exp'!$AB$64/'GW-1 Exp'!$Y$64))*3)+(((('GW-1 Inhale'!$I71)/('GW-1 Exp'!$R$65))*('GW-1 Exp'!$S$65+(EXP(-1*'GW-1 Exp'!$R$65*'GW-1 Exp'!$T$65)/'GW-1 Exp'!$R$65)-(EXP('GW-1 Exp'!$R$65*('GW-1 Exp'!$S$65-'GW-1 Exp'!$T$65))/'GW-1 Exp'!$R$65))*('GW-1 Exp'!$U$65*'GW-1 Exp'!$V$65*'GW-1 Exp'!$W$65*'GW-1 Exp'!$X$65*'GW-1 Exp'!$AB$65/'GW-1 Exp'!$Y$65))*3)+(((('GW-1 Inhale'!$I71)/('GW-1 Exp'!$R$66))*('GW-1 Exp'!$S$66+(EXP(-1*'GW-1 Exp'!$R$66*'GW-1 Exp'!$T$66)/'GW-1 Exp'!$R$66)-(EXP('GW-1 Exp'!$R$66*('GW-1 Exp'!$S$66-'GW-1 Exp'!$T$66))/'GW-1 Exp'!$R$66))*('GW-1 Exp'!$U$66*'GW-1 Exp'!$V$66*'GW-1 Exp'!$W$66*'GW-1 Exp'!$X$66*'GW-1 Exp'!$AB$66/'GW-1 Exp'!$Y$66))*1)),0)</f>
        <v>0</v>
      </c>
      <c r="M71" s="518">
        <f>IF(OR((VLOOKUP(A71,[1]!TOX,8,FALSE))=0,J71=0),0,'[1]Target Risk'!$D$8*(VLOOKUP(A71,[1]!TOX,8,FALSE))*'GW-1 Exp'!$Z$58/(VLOOKUP(A71,DWInhale,10,FALSE)))</f>
        <v>75.90739215642661</v>
      </c>
      <c r="N71" s="519">
        <f>IF(OR(K71=0,(VLOOKUP(A71,[1]!TOX,15,FALSE))=0),0,IF(VLOOKUP(A71,[1]!TOX,36,FALSE)="M",'[1]Target Risk'!$D$12/((VLOOKUP(A71,[1]!TOX,15,FALSE))*(VLOOKUP(A71,DWInhale,12,FALSE))), '[1]Target Risk'!$D$12/((VLOOKUP(A71,[1]!TOX,15,FALSE))*(VLOOKUP(A71,DWInhale,11,FALSE)))))</f>
        <v>0</v>
      </c>
      <c r="O71" s="520">
        <f>IF(OR(VLOOKUP(A71,[1]!TOX,15,FALSE)=0, NOT(VLOOKUP(A71,[1]!TOX,36,FALSE)="M")),0,'[1]Target Risk'!$D$12/(VLOOKUP(A71,[1]!TOX,15,FALSE)*VLOOKUP(A71,DWInhale,12,FALSE)))</f>
        <v>0</v>
      </c>
    </row>
    <row r="72" spans="1:15" x14ac:dyDescent="0.25">
      <c r="A72" s="510" t="s">
        <v>221</v>
      </c>
      <c r="B72" s="511">
        <f>(VLOOKUP(A72,[1]!TOX,54,FALSE))</f>
        <v>2.9399999999999999E-4</v>
      </c>
      <c r="C72" s="512">
        <f>(VLOOKUP(A72,[1]!TOX,57,FALSE))</f>
        <v>374</v>
      </c>
      <c r="D72" s="513">
        <f>IF(C72=0,0,'GW-1 Exp'!$F$58*(18/C72)^0.5)</f>
        <v>658.14518171441762</v>
      </c>
      <c r="E72" s="514">
        <f>IF(C72=0,0,'GW-1 Exp'!$G$58*(44/C72)^0.5)</f>
        <v>6.8599434057003537</v>
      </c>
      <c r="F72" s="514">
        <f>IF(B72*D72=0,0,((1/E72)+(('GW-1 Exp'!$E$58*'GW-1 Exp'!$M$58)/(B72*D72)))^-1)</f>
        <v>3.7044914749233917</v>
      </c>
      <c r="G72" s="514">
        <f>F72*(('GW-1 Exp'!$H$58*'GW-1 Exp'!$J$58)/('GW-1 Exp'!$N$58*'GW-1 Exp'!$I$58))^-0.5</f>
        <v>5.0040205022438364</v>
      </c>
      <c r="H72" s="514">
        <f>(1-EXP((-1*G72*'GW-1 Exp'!$D$58)/(60*'GW-1 Exp'!$C$58)))</f>
        <v>0.15363171023058975</v>
      </c>
      <c r="I72" s="515">
        <f>H72*'GW-1 Exp'!$P$58/'GW-1 Exp'!$Q$58</f>
        <v>0.25605285038431624</v>
      </c>
      <c r="J72" s="516">
        <f>(('GW-1 Inhale'!$I72)/('GW-1 Exp'!$R$58))*('GW-1 Exp'!$S$48+(EXP(-1*'GW-1 Exp'!$R$58*'GW-1 Exp'!$T$48)/'GW-1 Exp'!$R$58)-(EXP('GW-1 Exp'!$R$58*('GW-1 Exp'!$S$48-'GW-1 Exp'!$T$48))/'GW-1 Exp'!$R$58))*('GW-1 Exp'!$U$48*'GW-1 Exp'!$V$48*'GW-1 Exp'!$W$48*'GW-1 Exp'!$X$48*'GW-1 Exp'!$AB$58/'GW-1 Exp'!$Y$48)</f>
        <v>0.16763057659008412</v>
      </c>
      <c r="K72" s="517">
        <f>(('GW-1 Inhale'!$I72)/('GW-1 Exp'!$R$58))*('GW-1 Exp'!$S$56+(EXP(-1*'GW-1 Exp'!$R$58*'GW-1 Exp'!$T$56)/'GW-1 Exp'!$R$58)-(EXP('GW-1 Exp'!$R$58*('GW-1 Exp'!$S$56-'GW-1 Exp'!$T$56))/'GW-1 Exp'!$R$58))*('GW-1 Exp'!$U$56*'GW-1 Exp'!$V$56*'GW-1 Exp'!$W$56*'GW-1 Exp'!$X$56*'GW-1 Exp'!$AB$58/'GW-1 Exp'!$Y$56)</f>
        <v>0.12316004949306579</v>
      </c>
      <c r="L72" s="517">
        <f xml:space="preserve"> IF(VLOOKUP(A72,[1]!TOX,36,FALSE)="M",((((('GW-1 Inhale'!$I72)/('GW-1 Exp'!$R$63))*('GW-1 Exp'!$S$63+(EXP(-1*'GW-1 Exp'!$R$63*'GW-1 Exp'!$T$63)/'GW-1 Exp'!$R$63)-(EXP('GW-1 Exp'!$R$63*('GW-1 Exp'!$S$63-'GW-1 Exp'!$T$63))/'GW-1 Exp'!$R$63))*('GW-1 Exp'!$U$63*'GW-1 Exp'!$V$63*'GW-1 Exp'!$W$63*'GW-1 Exp'!$X$63*'GW-1 Exp'!$AB$63/'GW-1 Exp'!$Y$63)*10))+(((('GW-1 Inhale'!$I72)/('GW-1 Exp'!$R$64))*('GW-1 Exp'!$S$64+(EXP(-1*'GW-1 Exp'!$R$64*'GW-1 Exp'!$T$64)/'GW-1 Exp'!$R$64)-(EXP('GW-1 Exp'!$R$64*('GW-1 Exp'!$S$64-'GW-1 Exp'!$T$64))/'GW-1 Exp'!$R$64))*('GW-1 Exp'!$U$64*'GW-1 Exp'!$V$64*'GW-1 Exp'!$W$64*'GW-1 Exp'!$X$64*'GW-1 Exp'!$AB$64/'GW-1 Exp'!$Y$64))*3)+(((('GW-1 Inhale'!$I72)/('GW-1 Exp'!$R$65))*('GW-1 Exp'!$S$65+(EXP(-1*'GW-1 Exp'!$R$65*'GW-1 Exp'!$T$65)/'GW-1 Exp'!$R$65)-(EXP('GW-1 Exp'!$R$65*('GW-1 Exp'!$S$65-'GW-1 Exp'!$T$65))/'GW-1 Exp'!$R$65))*('GW-1 Exp'!$U$65*'GW-1 Exp'!$V$65*'GW-1 Exp'!$W$65*'GW-1 Exp'!$X$65*'GW-1 Exp'!$AB$65/'GW-1 Exp'!$Y$65))*3)+(((('GW-1 Inhale'!$I72)/('GW-1 Exp'!$R$66))*('GW-1 Exp'!$S$66+(EXP(-1*'GW-1 Exp'!$R$66*'GW-1 Exp'!$T$66)/'GW-1 Exp'!$R$66)-(EXP('GW-1 Exp'!$R$66*('GW-1 Exp'!$S$66-'GW-1 Exp'!$T$66))/'GW-1 Exp'!$R$66))*('GW-1 Exp'!$U$66*'GW-1 Exp'!$V$66*'GW-1 Exp'!$W$66*'GW-1 Exp'!$X$66*'GW-1 Exp'!$AB$66/'GW-1 Exp'!$Y$66))*1)),0)</f>
        <v>0</v>
      </c>
      <c r="M72" s="518">
        <f>IF(OR((VLOOKUP(A72,[1]!TOX,8,FALSE))=0,J72=0),0,'[1]Target Risk'!$D$8*(VLOOKUP(A72,[1]!TOX,8,FALSE))*'GW-1 Exp'!$Z$58/(VLOOKUP(A72,DWInhale,10,FALSE)))</f>
        <v>1.1930997558343461</v>
      </c>
      <c r="N72" s="519">
        <f>IF(OR(K72=0,(VLOOKUP(A72,[1]!TOX,15,FALSE))=0),0,IF(VLOOKUP(A72,[1]!TOX,36,FALSE)="M",'[1]Target Risk'!$D$12/((VLOOKUP(A72,[1]!TOX,15,FALSE))*(VLOOKUP(A72,DWInhale,12,FALSE))), '[1]Target Risk'!$D$12/((VLOOKUP(A72,[1]!TOX,15,FALSE))*(VLOOKUP(A72,DWInhale,11,FALSE)))))</f>
        <v>6.2457815858061897E-3</v>
      </c>
      <c r="O72" s="520">
        <f>IF(OR(VLOOKUP(A72,[1]!TOX,15,FALSE)=0, NOT(VLOOKUP(A72,[1]!TOX,36,FALSE)="M")),0,'[1]Target Risk'!$D$12/(VLOOKUP(A72,[1]!TOX,15,FALSE)*VLOOKUP(A72,DWInhale,12,FALSE)))</f>
        <v>0</v>
      </c>
    </row>
    <row r="73" spans="1:15" x14ac:dyDescent="0.25">
      <c r="A73" s="510" t="s">
        <v>222</v>
      </c>
      <c r="B73" s="511">
        <f>(VLOOKUP(A73,[1]!TOX,54,FALSE))</f>
        <v>2.0999999999999999E-5</v>
      </c>
      <c r="C73" s="512">
        <f>(VLOOKUP(A73,[1]!TOX,57,FALSE))</f>
        <v>389</v>
      </c>
      <c r="D73" s="513">
        <f>IF(C73=0,0,'GW-1 Exp'!$F$58*(18/C73)^0.5)</f>
        <v>645.33126544386721</v>
      </c>
      <c r="E73" s="514">
        <f>IF(C73=0,0,'GW-1 Exp'!$G$58*(44/C73)^0.5)</f>
        <v>6.7263820838771373</v>
      </c>
      <c r="F73" s="514">
        <f>IF(B73*D73=0,0,((1/E73)+(('GW-1 Exp'!$E$58*'GW-1 Exp'!$M$58)/(B73*D73)))^-1)</f>
        <v>0.52041351556639415</v>
      </c>
      <c r="G73" s="514">
        <f>F73*(('GW-1 Exp'!$H$58*'GW-1 Exp'!$J$58)/('GW-1 Exp'!$N$58*'GW-1 Exp'!$I$58))^-0.5</f>
        <v>0.70297365216446661</v>
      </c>
      <c r="H73" s="514">
        <f>(1-EXP((-1*G73*'GW-1 Exp'!$D$58)/(60*'GW-1 Exp'!$C$58)))</f>
        <v>2.3160046975283732E-2</v>
      </c>
      <c r="I73" s="515">
        <f>H73*'GW-1 Exp'!$P$58/'GW-1 Exp'!$Q$58</f>
        <v>3.8600078292139552E-2</v>
      </c>
      <c r="J73" s="516">
        <f>(('GW-1 Inhale'!$I73)/('GW-1 Exp'!$R$58))*('GW-1 Exp'!$S$48+(EXP(-1*'GW-1 Exp'!$R$58*'GW-1 Exp'!$T$48)/'GW-1 Exp'!$R$58)-(EXP('GW-1 Exp'!$R$58*('GW-1 Exp'!$S$48-'GW-1 Exp'!$T$48))/'GW-1 Exp'!$R$58))*('GW-1 Exp'!$U$48*'GW-1 Exp'!$V$48*'GW-1 Exp'!$W$48*'GW-1 Exp'!$X$48*'GW-1 Exp'!$AB$58/'GW-1 Exp'!$Y$48)</f>
        <v>2.5270382152832605E-2</v>
      </c>
      <c r="K73" s="517">
        <f>(('GW-1 Inhale'!$I73)/('GW-1 Exp'!$R$58))*('GW-1 Exp'!$S$56+(EXP(-1*'GW-1 Exp'!$R$58*'GW-1 Exp'!$T$56)/'GW-1 Exp'!$R$58)-(EXP('GW-1 Exp'!$R$58*('GW-1 Exp'!$S$56-'GW-1 Exp'!$T$56))/'GW-1 Exp'!$R$58))*('GW-1 Exp'!$U$56*'GW-1 Exp'!$V$56*'GW-1 Exp'!$W$56*'GW-1 Exp'!$X$56*'GW-1 Exp'!$AB$58/'GW-1 Exp'!$Y$56)</f>
        <v>1.8566430897999149E-2</v>
      </c>
      <c r="L73" s="517">
        <f xml:space="preserve"> IF(VLOOKUP(A73,[1]!TOX,36,FALSE)="M",((((('GW-1 Inhale'!$I73)/('GW-1 Exp'!$R$63))*('GW-1 Exp'!$S$63+(EXP(-1*'GW-1 Exp'!$R$63*'GW-1 Exp'!$T$63)/'GW-1 Exp'!$R$63)-(EXP('GW-1 Exp'!$R$63*('GW-1 Exp'!$S$63-'GW-1 Exp'!$T$63))/'GW-1 Exp'!$R$63))*('GW-1 Exp'!$U$63*'GW-1 Exp'!$V$63*'GW-1 Exp'!$W$63*'GW-1 Exp'!$X$63*'GW-1 Exp'!$AB$63/'GW-1 Exp'!$Y$63)*10))+(((('GW-1 Inhale'!$I73)/('GW-1 Exp'!$R$64))*('GW-1 Exp'!$S$64+(EXP(-1*'GW-1 Exp'!$R$64*'GW-1 Exp'!$T$64)/'GW-1 Exp'!$R$64)-(EXP('GW-1 Exp'!$R$64*('GW-1 Exp'!$S$64-'GW-1 Exp'!$T$64))/'GW-1 Exp'!$R$64))*('GW-1 Exp'!$U$64*'GW-1 Exp'!$V$64*'GW-1 Exp'!$W$64*'GW-1 Exp'!$X$64*'GW-1 Exp'!$AB$64/'GW-1 Exp'!$Y$64))*3)+(((('GW-1 Inhale'!$I73)/('GW-1 Exp'!$R$65))*('GW-1 Exp'!$S$65+(EXP(-1*'GW-1 Exp'!$R$65*'GW-1 Exp'!$T$65)/'GW-1 Exp'!$R$65)-(EXP('GW-1 Exp'!$R$65*('GW-1 Exp'!$S$65-'GW-1 Exp'!$T$65))/'GW-1 Exp'!$R$65))*('GW-1 Exp'!$U$65*'GW-1 Exp'!$V$65*'GW-1 Exp'!$W$65*'GW-1 Exp'!$X$65*'GW-1 Exp'!$AB$65/'GW-1 Exp'!$Y$65))*3)+(((('GW-1 Inhale'!$I73)/('GW-1 Exp'!$R$66))*('GW-1 Exp'!$S$66+(EXP(-1*'GW-1 Exp'!$R$66*'GW-1 Exp'!$T$66)/'GW-1 Exp'!$R$66)-(EXP('GW-1 Exp'!$R$66*('GW-1 Exp'!$S$66-'GW-1 Exp'!$T$66))/'GW-1 Exp'!$R$66))*('GW-1 Exp'!$U$66*'GW-1 Exp'!$V$66*'GW-1 Exp'!$W$66*'GW-1 Exp'!$X$66*'GW-1 Exp'!$AB$66/'GW-1 Exp'!$Y$66))*1)),0)</f>
        <v>0</v>
      </c>
      <c r="M73" s="518">
        <f>IF(OR((VLOOKUP(A73,[1]!TOX,8,FALSE))=0,J73=0),0,'[1]Target Risk'!$D$8*(VLOOKUP(A73,[1]!TOX,8,FALSE))*'GW-1 Exp'!$Z$58/(VLOOKUP(A73,DWInhale,10,FALSE)))</f>
        <v>0.3640625592584778</v>
      </c>
      <c r="N73" s="519">
        <f>IF(OR(K73=0,(VLOOKUP(A73,[1]!TOX,15,FALSE))=0),0,IF(VLOOKUP(A73,[1]!TOX,36,FALSE)="M",'[1]Target Risk'!$D$12/((VLOOKUP(A73,[1]!TOX,15,FALSE))*(VLOOKUP(A73,DWInhale,12,FALSE))), '[1]Target Risk'!$D$12/((VLOOKUP(A73,[1]!TOX,15,FALSE))*(VLOOKUP(A73,DWInhale,11,FALSE)))))</f>
        <v>2.07156338624476E-2</v>
      </c>
      <c r="O73" s="520">
        <f>IF(OR(VLOOKUP(A73,[1]!TOX,15,FALSE)=0, NOT(VLOOKUP(A73,[1]!TOX,36,FALSE)="M")),0,'[1]Target Risk'!$D$12/(VLOOKUP(A73,[1]!TOX,15,FALSE)*VLOOKUP(A73,DWInhale,12,FALSE)))</f>
        <v>0</v>
      </c>
    </row>
    <row r="74" spans="1:15" x14ac:dyDescent="0.25">
      <c r="A74" s="510" t="s">
        <v>223</v>
      </c>
      <c r="B74" s="511">
        <f>(VLOOKUP(A74,[1]!TOX,54,FALSE))</f>
        <v>1.6999999999999999E-3</v>
      </c>
      <c r="C74" s="512">
        <f>(VLOOKUP(A74,[1]!TOX,57,FALSE))</f>
        <v>285</v>
      </c>
      <c r="D74" s="513">
        <f>IF(C74=0,0,'GW-1 Exp'!$F$58*(18/C74)^0.5)</f>
        <v>753.93703492505188</v>
      </c>
      <c r="E74" s="514">
        <f>IF(C74=0,0,'GW-1 Exp'!$G$58*(44/C74)^0.5)</f>
        <v>7.8583958900600246</v>
      </c>
      <c r="F74" s="514">
        <f>IF(B74*D74=0,0,((1/E74)+(('GW-1 Exp'!$E$58*'GW-1 Exp'!$M$58)/(B74*D74)))^-1)</f>
        <v>6.8494111167611624</v>
      </c>
      <c r="G74" s="514">
        <f>F74*(('GW-1 Exp'!$H$58*'GW-1 Exp'!$J$58)/('GW-1 Exp'!$N$58*'GW-1 Exp'!$I$58))^-0.5</f>
        <v>9.2521723665941238</v>
      </c>
      <c r="H74" s="514">
        <f>(1-EXP((-1*G74*'GW-1 Exp'!$D$58)/(60*'GW-1 Exp'!$C$58)))</f>
        <v>0.26538281012697329</v>
      </c>
      <c r="I74" s="515">
        <f>H74*'GW-1 Exp'!$P$58/'GW-1 Exp'!$Q$58</f>
        <v>0.4423046835449555</v>
      </c>
      <c r="J74" s="516">
        <f>(('GW-1 Inhale'!$I74)/('GW-1 Exp'!$R$58))*('GW-1 Exp'!$S$48+(EXP(-1*'GW-1 Exp'!$R$58*'GW-1 Exp'!$T$48)/'GW-1 Exp'!$R$58)-(EXP('GW-1 Exp'!$R$58*('GW-1 Exp'!$S$48-'GW-1 Exp'!$T$48))/'GW-1 Exp'!$R$58))*('GW-1 Exp'!$U$48*'GW-1 Exp'!$V$48*'GW-1 Exp'!$W$48*'GW-1 Exp'!$X$48*'GW-1 Exp'!$AB$58/'GW-1 Exp'!$Y$48)</f>
        <v>0.28956439664643951</v>
      </c>
      <c r="K74" s="517">
        <f>(('GW-1 Inhale'!$I74)/('GW-1 Exp'!$R$58))*('GW-1 Exp'!$S$56+(EXP(-1*'GW-1 Exp'!$R$58*'GW-1 Exp'!$T$56)/'GW-1 Exp'!$R$58)-(EXP('GW-1 Exp'!$R$58*('GW-1 Exp'!$S$56-'GW-1 Exp'!$T$56))/'GW-1 Exp'!$R$58))*('GW-1 Exp'!$U$56*'GW-1 Exp'!$V$56*'GW-1 Exp'!$W$56*'GW-1 Exp'!$X$56*'GW-1 Exp'!$AB$58/'GW-1 Exp'!$Y$56)</f>
        <v>0.21274618358924616</v>
      </c>
      <c r="L74" s="517">
        <f xml:space="preserve"> IF(VLOOKUP(A74,[1]!TOX,36,FALSE)="M",((((('GW-1 Inhale'!$I74)/('GW-1 Exp'!$R$63))*('GW-1 Exp'!$S$63+(EXP(-1*'GW-1 Exp'!$R$63*'GW-1 Exp'!$T$63)/'GW-1 Exp'!$R$63)-(EXP('GW-1 Exp'!$R$63*('GW-1 Exp'!$S$63-'GW-1 Exp'!$T$63))/'GW-1 Exp'!$R$63))*('GW-1 Exp'!$U$63*'GW-1 Exp'!$V$63*'GW-1 Exp'!$W$63*'GW-1 Exp'!$X$63*'GW-1 Exp'!$AB$63/'GW-1 Exp'!$Y$63)*10))+(((('GW-1 Inhale'!$I74)/('GW-1 Exp'!$R$64))*('GW-1 Exp'!$S$64+(EXP(-1*'GW-1 Exp'!$R$64*'GW-1 Exp'!$T$64)/'GW-1 Exp'!$R$64)-(EXP('GW-1 Exp'!$R$64*('GW-1 Exp'!$S$64-'GW-1 Exp'!$T$64))/'GW-1 Exp'!$R$64))*('GW-1 Exp'!$U$64*'GW-1 Exp'!$V$64*'GW-1 Exp'!$W$64*'GW-1 Exp'!$X$64*'GW-1 Exp'!$AB$64/'GW-1 Exp'!$Y$64))*3)+(((('GW-1 Inhale'!$I74)/('GW-1 Exp'!$R$65))*('GW-1 Exp'!$S$65+(EXP(-1*'GW-1 Exp'!$R$65*'GW-1 Exp'!$T$65)/'GW-1 Exp'!$R$65)-(EXP('GW-1 Exp'!$R$65*('GW-1 Exp'!$S$65-'GW-1 Exp'!$T$65))/'GW-1 Exp'!$R$65))*('GW-1 Exp'!$U$65*'GW-1 Exp'!$V$65*'GW-1 Exp'!$W$65*'GW-1 Exp'!$X$65*'GW-1 Exp'!$AB$65/'GW-1 Exp'!$Y$65))*3)+(((('GW-1 Inhale'!$I74)/('GW-1 Exp'!$R$66))*('GW-1 Exp'!$S$66+(EXP(-1*'GW-1 Exp'!$R$66*'GW-1 Exp'!$T$66)/'GW-1 Exp'!$R$66)-(EXP('GW-1 Exp'!$R$66*('GW-1 Exp'!$S$66-'GW-1 Exp'!$T$66))/'GW-1 Exp'!$R$66))*('GW-1 Exp'!$U$66*'GW-1 Exp'!$V$66*'GW-1 Exp'!$W$66*'GW-1 Exp'!$X$66*'GW-1 Exp'!$AB$66/'GW-1 Exp'!$Y$66))*1)),0)</f>
        <v>0</v>
      </c>
      <c r="M74" s="518">
        <f>IF(OR((VLOOKUP(A74,[1]!TOX,8,FALSE))=0,J74=0),0,'[1]Target Risk'!$D$8*(VLOOKUP(A74,[1]!TOX,8,FALSE))*'GW-1 Exp'!$Z$58/(VLOOKUP(A74,DWInhale,10,FALSE)))</f>
        <v>2.7627705935713041E-2</v>
      </c>
      <c r="N74" s="519">
        <f>IF(OR(K74=0,(VLOOKUP(A74,[1]!TOX,15,FALSE))=0),0,IF(VLOOKUP(A74,[1]!TOX,36,FALSE)="M",'[1]Target Risk'!$D$12/((VLOOKUP(A74,[1]!TOX,15,FALSE))*(VLOOKUP(A74,DWInhale,12,FALSE))), '[1]Target Risk'!$D$12/((VLOOKUP(A74,[1]!TOX,15,FALSE))*(VLOOKUP(A74,DWInhale,11,FALSE)))))</f>
        <v>1.0218340967636267E-2</v>
      </c>
      <c r="O74" s="520">
        <f>IF(OR(VLOOKUP(A74,[1]!TOX,15,FALSE)=0, NOT(VLOOKUP(A74,[1]!TOX,36,FALSE)="M")),0,'[1]Target Risk'!$D$12/(VLOOKUP(A74,[1]!TOX,15,FALSE)*VLOOKUP(A74,DWInhale,12,FALSE)))</f>
        <v>0</v>
      </c>
    </row>
    <row r="75" spans="1:15" x14ac:dyDescent="0.25">
      <c r="A75" s="510" t="s">
        <v>224</v>
      </c>
      <c r="B75" s="511">
        <f>(VLOOKUP(A75,[1]!TOX,54,FALSE))</f>
        <v>1.03E-2</v>
      </c>
      <c r="C75" s="512">
        <f>(VLOOKUP(A75,[1]!TOX,57,FALSE))</f>
        <v>261</v>
      </c>
      <c r="D75" s="513">
        <f>IF(C75=0,0,'GW-1 Exp'!$F$58*(18/C75)^0.5)</f>
        <v>787.83859715833523</v>
      </c>
      <c r="E75" s="514">
        <f>IF(C75=0,0,'GW-1 Exp'!$G$58*(44/C75)^0.5)</f>
        <v>8.2117568273525308</v>
      </c>
      <c r="F75" s="514">
        <f>IF(B75*D75=0,0,((1/E75)+(('GW-1 Exp'!$E$58*'GW-1 Exp'!$M$58)/(B75*D75)))^-1)</f>
        <v>8.0168413333488786</v>
      </c>
      <c r="G75" s="514">
        <f>F75*(('GW-1 Exp'!$H$58*'GW-1 Exp'!$J$58)/('GW-1 Exp'!$N$58*'GW-1 Exp'!$I$58))^-0.5</f>
        <v>10.829135028889008</v>
      </c>
      <c r="H75" s="514">
        <f>(1-EXP((-1*G75*'GW-1 Exp'!$D$58)/(60*'GW-1 Exp'!$C$58)))</f>
        <v>0.30300090568680182</v>
      </c>
      <c r="I75" s="515">
        <f>H75*'GW-1 Exp'!$P$58/'GW-1 Exp'!$Q$58</f>
        <v>0.50500150947800304</v>
      </c>
      <c r="J75" s="516">
        <f>(('GW-1 Inhale'!$I75)/('GW-1 Exp'!$R$58))*('GW-1 Exp'!$S$48+(EXP(-1*'GW-1 Exp'!$R$58*'GW-1 Exp'!$T$48)/'GW-1 Exp'!$R$58)-(EXP('GW-1 Exp'!$R$58*('GW-1 Exp'!$S$48-'GW-1 Exp'!$T$48))/'GW-1 Exp'!$R$58))*('GW-1 Exp'!$U$48*'GW-1 Exp'!$V$48*'GW-1 Exp'!$W$48*'GW-1 Exp'!$X$48*'GW-1 Exp'!$AB$58/'GW-1 Exp'!$Y$48)</f>
        <v>0.33061023958765384</v>
      </c>
      <c r="K75" s="517">
        <f>(('GW-1 Inhale'!$I75)/('GW-1 Exp'!$R$58))*('GW-1 Exp'!$S$56+(EXP(-1*'GW-1 Exp'!$R$58*'GW-1 Exp'!$T$56)/'GW-1 Exp'!$R$58)-(EXP('GW-1 Exp'!$R$58*('GW-1 Exp'!$S$56-'GW-1 Exp'!$T$56))/'GW-1 Exp'!$R$58))*('GW-1 Exp'!$U$56*'GW-1 Exp'!$V$56*'GW-1 Exp'!$W$56*'GW-1 Exp'!$X$56*'GW-1 Exp'!$AB$58/'GW-1 Exp'!$Y$56)</f>
        <v>0.24290302102879233</v>
      </c>
      <c r="L75" s="517">
        <f xml:space="preserve"> IF(VLOOKUP(A75,[1]!TOX,36,FALSE)="M",((((('GW-1 Inhale'!$I75)/('GW-1 Exp'!$R$63))*('GW-1 Exp'!$S$63+(EXP(-1*'GW-1 Exp'!$R$63*'GW-1 Exp'!$T$63)/'GW-1 Exp'!$R$63)-(EXP('GW-1 Exp'!$R$63*('GW-1 Exp'!$S$63-'GW-1 Exp'!$T$63))/'GW-1 Exp'!$R$63))*('GW-1 Exp'!$U$63*'GW-1 Exp'!$V$63*'GW-1 Exp'!$W$63*'GW-1 Exp'!$X$63*'GW-1 Exp'!$AB$63/'GW-1 Exp'!$Y$63)*10))+(((('GW-1 Inhale'!$I75)/('GW-1 Exp'!$R$64))*('GW-1 Exp'!$S$64+(EXP(-1*'GW-1 Exp'!$R$64*'GW-1 Exp'!$T$64)/'GW-1 Exp'!$R$64)-(EXP('GW-1 Exp'!$R$64*('GW-1 Exp'!$S$64-'GW-1 Exp'!$T$64))/'GW-1 Exp'!$R$64))*('GW-1 Exp'!$U$64*'GW-1 Exp'!$V$64*'GW-1 Exp'!$W$64*'GW-1 Exp'!$X$64*'GW-1 Exp'!$AB$64/'GW-1 Exp'!$Y$64))*3)+(((('GW-1 Inhale'!$I75)/('GW-1 Exp'!$R$65))*('GW-1 Exp'!$S$65+(EXP(-1*'GW-1 Exp'!$R$65*'GW-1 Exp'!$T$65)/'GW-1 Exp'!$R$65)-(EXP('GW-1 Exp'!$R$65*('GW-1 Exp'!$S$65-'GW-1 Exp'!$T$65))/'GW-1 Exp'!$R$65))*('GW-1 Exp'!$U$65*'GW-1 Exp'!$V$65*'GW-1 Exp'!$W$65*'GW-1 Exp'!$X$65*'GW-1 Exp'!$AB$65/'GW-1 Exp'!$Y$65))*3)+(((('GW-1 Inhale'!$I75)/('GW-1 Exp'!$R$66))*('GW-1 Exp'!$S$66+(EXP(-1*'GW-1 Exp'!$R$66*'GW-1 Exp'!$T$66)/'GW-1 Exp'!$R$66)-(EXP('GW-1 Exp'!$R$66*('GW-1 Exp'!$S$66-'GW-1 Exp'!$T$66))/'GW-1 Exp'!$R$66))*('GW-1 Exp'!$U$66*'GW-1 Exp'!$V$66*'GW-1 Exp'!$W$66*'GW-1 Exp'!$X$66*'GW-1 Exp'!$AB$66/'GW-1 Exp'!$Y$66))*1)),0)</f>
        <v>0</v>
      </c>
      <c r="M75" s="518">
        <f>IF(OR((VLOOKUP(A75,[1]!TOX,8,FALSE))=0,J75=0),0,'[1]Target Risk'!$D$8*(VLOOKUP(A75,[1]!TOX,8,FALSE))*'GW-1 Exp'!$Z$58/(VLOOKUP(A75,DWInhale,10,FALSE)))</f>
        <v>2.4197677633874317</v>
      </c>
      <c r="N75" s="519">
        <f>IF(OR(K75=0,(VLOOKUP(A75,[1]!TOX,15,FALSE))=0),0,IF(VLOOKUP(A75,[1]!TOX,36,FALSE)="M",'[1]Target Risk'!$D$12/((VLOOKUP(A75,[1]!TOX,15,FALSE))*(VLOOKUP(A75,DWInhale,12,FALSE))), '[1]Target Risk'!$D$12/((VLOOKUP(A75,[1]!TOX,15,FALSE))*(VLOOKUP(A75,DWInhale,11,FALSE)))))</f>
        <v>0.18713042457037837</v>
      </c>
      <c r="O75" s="520">
        <f>IF(OR(VLOOKUP(A75,[1]!TOX,15,FALSE)=0, NOT(VLOOKUP(A75,[1]!TOX,36,FALSE)="M")),0,'[1]Target Risk'!$D$12/(VLOOKUP(A75,[1]!TOX,15,FALSE)*VLOOKUP(A75,DWInhale,12,FALSE)))</f>
        <v>0</v>
      </c>
    </row>
    <row r="76" spans="1:15" ht="20" x14ac:dyDescent="0.25">
      <c r="A76" s="510" t="s">
        <v>225</v>
      </c>
      <c r="B76" s="511">
        <f>(VLOOKUP(A76,[1]!TOX,54,FALSE))</f>
        <v>5.1399999999999999E-6</v>
      </c>
      <c r="C76" s="512">
        <f>(VLOOKUP(A76,[1]!TOX,57,FALSE))</f>
        <v>291</v>
      </c>
      <c r="D76" s="513">
        <f>IF(C76=0,0,'GW-1 Exp'!$F$58*(18/C76)^0.5)</f>
        <v>746.12400506071049</v>
      </c>
      <c r="E76" s="514">
        <f>IF(C76=0,0,'GW-1 Exp'!$G$58*(44/C76)^0.5)</f>
        <v>7.776959538042961</v>
      </c>
      <c r="F76" s="514">
        <f>IF(B76*D76=0,0,((1/E76)+(('GW-1 Exp'!$E$58*'GW-1 Exp'!$M$58)/(B76*D76)))^-1)</f>
        <v>0.15641162131732519</v>
      </c>
      <c r="G76" s="514">
        <f>F76*(('GW-1 Exp'!$H$58*'GW-1 Exp'!$J$58)/('GW-1 Exp'!$N$58*'GW-1 Exp'!$I$58))^-0.5</f>
        <v>0.21128054016571338</v>
      </c>
      <c r="H76" s="514">
        <f>(1-EXP((-1*G76*'GW-1 Exp'!$D$58)/(60*'GW-1 Exp'!$C$58)))</f>
        <v>7.0179430849655056E-3</v>
      </c>
      <c r="I76" s="515">
        <f>H76*'GW-1 Exp'!$P$58/'GW-1 Exp'!$Q$58</f>
        <v>1.1696571808275843E-2</v>
      </c>
      <c r="J76" s="516">
        <f>(('GW-1 Inhale'!$I76)/('GW-1 Exp'!$R$58))*('GW-1 Exp'!$S$48+(EXP(-1*'GW-1 Exp'!$R$58*'GW-1 Exp'!$T$48)/'GW-1 Exp'!$R$58)-(EXP('GW-1 Exp'!$R$58*('GW-1 Exp'!$S$48-'GW-1 Exp'!$T$48))/'GW-1 Exp'!$R$58))*('GW-1 Exp'!$U$48*'GW-1 Exp'!$V$48*'GW-1 Exp'!$W$48*'GW-1 Exp'!$X$48*'GW-1 Exp'!$AB$58/'GW-1 Exp'!$Y$48)</f>
        <v>7.6574155429464394E-3</v>
      </c>
      <c r="K76" s="517">
        <f>(('GW-1 Inhale'!$I76)/('GW-1 Exp'!$R$58))*('GW-1 Exp'!$S$56+(EXP(-1*'GW-1 Exp'!$R$58*'GW-1 Exp'!$T$56)/'GW-1 Exp'!$R$58)-(EXP('GW-1 Exp'!$R$58*('GW-1 Exp'!$S$56-'GW-1 Exp'!$T$56))/'GW-1 Exp'!$R$58))*('GW-1 Exp'!$U$56*'GW-1 Exp'!$V$56*'GW-1 Exp'!$W$56*'GW-1 Exp'!$X$56*'GW-1 Exp'!$AB$58/'GW-1 Exp'!$Y$56)</f>
        <v>5.6259883873360219E-3</v>
      </c>
      <c r="L76" s="517">
        <f xml:space="preserve"> IF(VLOOKUP(A76,[1]!TOX,36,FALSE)="M",((((('GW-1 Inhale'!$I76)/('GW-1 Exp'!$R$63))*('GW-1 Exp'!$S$63+(EXP(-1*'GW-1 Exp'!$R$63*'GW-1 Exp'!$T$63)/'GW-1 Exp'!$R$63)-(EXP('GW-1 Exp'!$R$63*('GW-1 Exp'!$S$63-'GW-1 Exp'!$T$63))/'GW-1 Exp'!$R$63))*('GW-1 Exp'!$U$63*'GW-1 Exp'!$V$63*'GW-1 Exp'!$W$63*'GW-1 Exp'!$X$63*'GW-1 Exp'!$AB$63/'GW-1 Exp'!$Y$63)*10))+(((('GW-1 Inhale'!$I76)/('GW-1 Exp'!$R$64))*('GW-1 Exp'!$S$64+(EXP(-1*'GW-1 Exp'!$R$64*'GW-1 Exp'!$T$64)/'GW-1 Exp'!$R$64)-(EXP('GW-1 Exp'!$R$64*('GW-1 Exp'!$S$64-'GW-1 Exp'!$T$64))/'GW-1 Exp'!$R$64))*('GW-1 Exp'!$U$64*'GW-1 Exp'!$V$64*'GW-1 Exp'!$W$64*'GW-1 Exp'!$X$64*'GW-1 Exp'!$AB$64/'GW-1 Exp'!$Y$64))*3)+(((('GW-1 Inhale'!$I76)/('GW-1 Exp'!$R$65))*('GW-1 Exp'!$S$65+(EXP(-1*'GW-1 Exp'!$R$65*'GW-1 Exp'!$T$65)/'GW-1 Exp'!$R$65)-(EXP('GW-1 Exp'!$R$65*('GW-1 Exp'!$S$65-'GW-1 Exp'!$T$65))/'GW-1 Exp'!$R$65))*('GW-1 Exp'!$U$65*'GW-1 Exp'!$V$65*'GW-1 Exp'!$W$65*'GW-1 Exp'!$X$65*'GW-1 Exp'!$AB$65/'GW-1 Exp'!$Y$65))*3)+(((('GW-1 Inhale'!$I76)/('GW-1 Exp'!$R$66))*('GW-1 Exp'!$S$66+(EXP(-1*'GW-1 Exp'!$R$66*'GW-1 Exp'!$T$66)/'GW-1 Exp'!$R$66)-(EXP('GW-1 Exp'!$R$66*('GW-1 Exp'!$S$66-'GW-1 Exp'!$T$66))/'GW-1 Exp'!$R$66))*('GW-1 Exp'!$U$66*'GW-1 Exp'!$V$66*'GW-1 Exp'!$W$66*'GW-1 Exp'!$X$66*'GW-1 Exp'!$AB$66/'GW-1 Exp'!$Y$66))*1)),0)</f>
        <v>0</v>
      </c>
      <c r="M76" s="518">
        <f>IF(OR((VLOOKUP(A76,[1]!TOX,8,FALSE))=0,J76=0),0,'[1]Target Risk'!$D$8*(VLOOKUP(A76,[1]!TOX,8,FALSE))*'GW-1 Exp'!$Z$58/(VLOOKUP(A76,DWInhale,10,FALSE)))</f>
        <v>28.730320140801432</v>
      </c>
      <c r="N76" s="519">
        <f>IF(OR(K76=0,(VLOOKUP(A76,[1]!TOX,15,FALSE))=0),0,IF(VLOOKUP(A76,[1]!TOX,36,FALSE)="M",'[1]Target Risk'!$D$12/((VLOOKUP(A76,[1]!TOX,15,FALSE))*(VLOOKUP(A76,DWInhale,12,FALSE))), '[1]Target Risk'!$D$12/((VLOOKUP(A76,[1]!TOX,15,FALSE))*(VLOOKUP(A76,DWInhale,11,FALSE)))))</f>
        <v>0.47854839131343013</v>
      </c>
      <c r="O76" s="520">
        <f>IF(OR(VLOOKUP(A76,[1]!TOX,15,FALSE)=0, NOT(VLOOKUP(A76,[1]!TOX,36,FALSE)="M")),0,'[1]Target Risk'!$D$12/(VLOOKUP(A76,[1]!TOX,15,FALSE)*VLOOKUP(A76,DWInhale,12,FALSE)))</f>
        <v>0</v>
      </c>
    </row>
    <row r="77" spans="1:15" x14ac:dyDescent="0.25">
      <c r="A77" s="510" t="s">
        <v>226</v>
      </c>
      <c r="B77" s="511">
        <f>(VLOOKUP(A77,[1]!TOX,54,FALSE))</f>
        <v>3.8899999999999998E-3</v>
      </c>
      <c r="C77" s="512">
        <f>(VLOOKUP(A77,[1]!TOX,57,FALSE))</f>
        <v>237</v>
      </c>
      <c r="D77" s="513">
        <f>IF(C77=0,0,'GW-1 Exp'!$F$58*(18/C77)^0.5)</f>
        <v>826.7673819143256</v>
      </c>
      <c r="E77" s="514">
        <f>IF(C77=0,0,'GW-1 Exp'!$G$58*(44/C77)^0.5)</f>
        <v>8.6175172396420212</v>
      </c>
      <c r="F77" s="514">
        <f>IF(B77*D77=0,0,((1/E77)+(('GW-1 Exp'!$E$58*'GW-1 Exp'!$M$58)/(B77*D77)))^-1)</f>
        <v>8.0963016707146931</v>
      </c>
      <c r="G77" s="514">
        <f>F77*(('GW-1 Exp'!$H$58*'GW-1 Exp'!$J$58)/('GW-1 Exp'!$N$58*'GW-1 Exp'!$I$58))^-0.5</f>
        <v>10.936469911418861</v>
      </c>
      <c r="H77" s="514">
        <f>(1-EXP((-1*G77*'GW-1 Exp'!$D$58)/(60*'GW-1 Exp'!$C$58)))</f>
        <v>0.30549019377103159</v>
      </c>
      <c r="I77" s="515">
        <f>H77*'GW-1 Exp'!$P$58/'GW-1 Exp'!$Q$58</f>
        <v>0.50915032295171925</v>
      </c>
      <c r="J77" s="516">
        <f>(('GW-1 Inhale'!$I77)/('GW-1 Exp'!$R$58))*('GW-1 Exp'!$S$48+(EXP(-1*'GW-1 Exp'!$R$58*'GW-1 Exp'!$T$48)/'GW-1 Exp'!$R$58)-(EXP('GW-1 Exp'!$R$58*('GW-1 Exp'!$S$48-'GW-1 Exp'!$T$48))/'GW-1 Exp'!$R$58))*('GW-1 Exp'!$U$48*'GW-1 Exp'!$V$48*'GW-1 Exp'!$W$48*'GW-1 Exp'!$X$48*'GW-1 Exp'!$AB$58/'GW-1 Exp'!$Y$48)</f>
        <v>0.33332635070971289</v>
      </c>
      <c r="K77" s="517">
        <f>(('GW-1 Inhale'!$I77)/('GW-1 Exp'!$R$58))*('GW-1 Exp'!$S$56+(EXP(-1*'GW-1 Exp'!$R$58*'GW-1 Exp'!$T$56)/'GW-1 Exp'!$R$58)-(EXP('GW-1 Exp'!$R$58*('GW-1 Exp'!$S$56-'GW-1 Exp'!$T$56))/'GW-1 Exp'!$R$58))*('GW-1 Exp'!$U$56*'GW-1 Exp'!$V$56*'GW-1 Exp'!$W$56*'GW-1 Exp'!$X$56*'GW-1 Exp'!$AB$58/'GW-1 Exp'!$Y$56)</f>
        <v>0.24489857808661639</v>
      </c>
      <c r="L77" s="517">
        <f xml:space="preserve"> IF(VLOOKUP(A77,[1]!TOX,36,FALSE)="M",((((('GW-1 Inhale'!$I77)/('GW-1 Exp'!$R$63))*('GW-1 Exp'!$S$63+(EXP(-1*'GW-1 Exp'!$R$63*'GW-1 Exp'!$T$63)/'GW-1 Exp'!$R$63)-(EXP('GW-1 Exp'!$R$63*('GW-1 Exp'!$S$63-'GW-1 Exp'!$T$63))/'GW-1 Exp'!$R$63))*('GW-1 Exp'!$U$63*'GW-1 Exp'!$V$63*'GW-1 Exp'!$W$63*'GW-1 Exp'!$X$63*'GW-1 Exp'!$AB$63/'GW-1 Exp'!$Y$63)*10))+(((('GW-1 Inhale'!$I77)/('GW-1 Exp'!$R$64))*('GW-1 Exp'!$S$64+(EXP(-1*'GW-1 Exp'!$R$64*'GW-1 Exp'!$T$64)/'GW-1 Exp'!$R$64)-(EXP('GW-1 Exp'!$R$64*('GW-1 Exp'!$S$64-'GW-1 Exp'!$T$64))/'GW-1 Exp'!$R$64))*('GW-1 Exp'!$U$64*'GW-1 Exp'!$V$64*'GW-1 Exp'!$W$64*'GW-1 Exp'!$X$64*'GW-1 Exp'!$AB$64/'GW-1 Exp'!$Y$64))*3)+(((('GW-1 Inhale'!$I77)/('GW-1 Exp'!$R$65))*('GW-1 Exp'!$S$65+(EXP(-1*'GW-1 Exp'!$R$65*'GW-1 Exp'!$T$65)/'GW-1 Exp'!$R$65)-(EXP('GW-1 Exp'!$R$65*('GW-1 Exp'!$S$65-'GW-1 Exp'!$T$65))/'GW-1 Exp'!$R$65))*('GW-1 Exp'!$U$65*'GW-1 Exp'!$V$65*'GW-1 Exp'!$W$65*'GW-1 Exp'!$X$65*'GW-1 Exp'!$AB$65/'GW-1 Exp'!$Y$65))*3)+(((('GW-1 Inhale'!$I77)/('GW-1 Exp'!$R$66))*('GW-1 Exp'!$S$66+(EXP(-1*'GW-1 Exp'!$R$66*'GW-1 Exp'!$T$66)/'GW-1 Exp'!$R$66)-(EXP('GW-1 Exp'!$R$66*('GW-1 Exp'!$S$66-'GW-1 Exp'!$T$66))/'GW-1 Exp'!$R$66))*('GW-1 Exp'!$U$66*'GW-1 Exp'!$V$66*'GW-1 Exp'!$W$66*'GW-1 Exp'!$X$66*'GW-1 Exp'!$AB$66/'GW-1 Exp'!$Y$66))*1)),0)</f>
        <v>0</v>
      </c>
      <c r="M77" s="518">
        <f>IF(OR((VLOOKUP(A77,[1]!TOX,8,FALSE))=0,J77=0),0,'[1]Target Risk'!$D$8*(VLOOKUP(A77,[1]!TOX,8,FALSE))*'GW-1 Exp'!$Z$58/(VLOOKUP(A77,DWInhale,10,FALSE)))</f>
        <v>18.000377069574309</v>
      </c>
      <c r="N77" s="519">
        <f>IF(OR(K77=0,(VLOOKUP(A77,[1]!TOX,15,FALSE))=0),0,IF(VLOOKUP(A77,[1]!TOX,36,FALSE)="M",'[1]Target Risk'!$D$12/((VLOOKUP(A77,[1]!TOX,15,FALSE))*(VLOOKUP(A77,DWInhale,12,FALSE))), '[1]Target Risk'!$D$12/((VLOOKUP(A77,[1]!TOX,15,FALSE))*(VLOOKUP(A77,DWInhale,11,FALSE)))))</f>
        <v>1.0208307535031067</v>
      </c>
      <c r="O77" s="520">
        <f>IF(OR(VLOOKUP(A77,[1]!TOX,15,FALSE)=0, NOT(VLOOKUP(A77,[1]!TOX,36,FALSE)="M")),0,'[1]Target Risk'!$D$12/(VLOOKUP(A77,[1]!TOX,15,FALSE)*VLOOKUP(A77,DWInhale,12,FALSE)))</f>
        <v>0</v>
      </c>
    </row>
    <row r="78" spans="1:15" x14ac:dyDescent="0.25">
      <c r="A78" s="510" t="s">
        <v>432</v>
      </c>
      <c r="B78" s="511">
        <f>(VLOOKUP(A78,[1]!TOX,54,FALSE))</f>
        <v>8.67E-10</v>
      </c>
      <c r="C78" s="512">
        <f>(VLOOKUP(A78,[1]!TOX,57,FALSE))</f>
        <v>296.2</v>
      </c>
      <c r="D78" s="513">
        <f>IF(C78=0,0,'GW-1 Exp'!$F$58*(18/C78)^0.5)</f>
        <v>739.54563856414143</v>
      </c>
      <c r="E78" s="514">
        <f>IF(C78=0,0,'GW-1 Exp'!$G$58*(44/C78)^0.5)</f>
        <v>7.70839226273318</v>
      </c>
      <c r="F78" s="514">
        <f>IF(B78*D78=0,0,((1/E78)+(('GW-1 Exp'!$E$58*'GW-1 Exp'!$M$58)/(B78*D78)))^-1)</f>
        <v>2.6687082693608895E-5</v>
      </c>
      <c r="G78" s="514">
        <f>F78*(('GW-1 Exp'!$H$58*'GW-1 Exp'!$J$58)/('GW-1 Exp'!$N$58*'GW-1 Exp'!$I$58))^-0.5</f>
        <v>3.6048863885334549E-5</v>
      </c>
      <c r="H78" s="514">
        <f>(1-EXP((-1*G78*'GW-1 Exp'!$D$58)/(60*'GW-1 Exp'!$C$58)))</f>
        <v>1.2016280742654928E-6</v>
      </c>
      <c r="I78" s="515">
        <f>H78*'GW-1 Exp'!$P$58/'GW-1 Exp'!$Q$58</f>
        <v>2.0027134571091545E-6</v>
      </c>
      <c r="J78" s="516">
        <f>(('GW-1 Inhale'!$I78)/('GW-1 Exp'!$R$58))*('GW-1 Exp'!$S$48+(EXP(-1*'GW-1 Exp'!$R$58*'GW-1 Exp'!$T$48)/'GW-1 Exp'!$R$58)-(EXP('GW-1 Exp'!$R$58*('GW-1 Exp'!$S$48-'GW-1 Exp'!$T$48))/'GW-1 Exp'!$R$58))*('GW-1 Exp'!$U$48*'GW-1 Exp'!$V$48*'GW-1 Exp'!$W$48*'GW-1 Exp'!$X$48*'GW-1 Exp'!$AB$58/'GW-1 Exp'!$Y$48)</f>
        <v>1.3111199936108641E-6</v>
      </c>
      <c r="K78" s="517">
        <f>(('GW-1 Inhale'!$I78)/('GW-1 Exp'!$R$58))*('GW-1 Exp'!$S$56+(EXP(-1*'GW-1 Exp'!$R$58*'GW-1 Exp'!$T$56)/'GW-1 Exp'!$R$58)-(EXP('GW-1 Exp'!$R$58*('GW-1 Exp'!$S$56-'GW-1 Exp'!$T$56))/'GW-1 Exp'!$R$58))*('GW-1 Exp'!$U$56*'GW-1 Exp'!$V$56*'GW-1 Exp'!$W$56*'GW-1 Exp'!$X$56*'GW-1 Exp'!$AB$58/'GW-1 Exp'!$Y$56)</f>
        <v>9.6329444537634587E-7</v>
      </c>
      <c r="L78" s="517">
        <f xml:space="preserve"> IF(VLOOKUP(A78,[1]!TOX,36,FALSE)="M",((((('GW-1 Inhale'!$I78)/('GW-1 Exp'!$R$63))*('GW-1 Exp'!$S$63+(EXP(-1*'GW-1 Exp'!$R$63*'GW-1 Exp'!$T$63)/'GW-1 Exp'!$R$63)-(EXP('GW-1 Exp'!$R$63*('GW-1 Exp'!$S$63-'GW-1 Exp'!$T$63))/'GW-1 Exp'!$R$63))*('GW-1 Exp'!$U$63*'GW-1 Exp'!$V$63*'GW-1 Exp'!$W$63*'GW-1 Exp'!$X$63*'GW-1 Exp'!$AB$63/'GW-1 Exp'!$Y$63)*10))+(((('GW-1 Inhale'!$I78)/('GW-1 Exp'!$R$64))*('GW-1 Exp'!$S$64+(EXP(-1*'GW-1 Exp'!$R$64*'GW-1 Exp'!$T$64)/'GW-1 Exp'!$R$64)-(EXP('GW-1 Exp'!$R$64*('GW-1 Exp'!$S$64-'GW-1 Exp'!$T$64))/'GW-1 Exp'!$R$64))*('GW-1 Exp'!$U$64*'GW-1 Exp'!$V$64*'GW-1 Exp'!$W$64*'GW-1 Exp'!$X$64*'GW-1 Exp'!$AB$64/'GW-1 Exp'!$Y$64))*3)+(((('GW-1 Inhale'!$I78)/('GW-1 Exp'!$R$65))*('GW-1 Exp'!$S$65+(EXP(-1*'GW-1 Exp'!$R$65*'GW-1 Exp'!$T$65)/'GW-1 Exp'!$R$65)-(EXP('GW-1 Exp'!$R$65*('GW-1 Exp'!$S$65-'GW-1 Exp'!$T$65))/'GW-1 Exp'!$R$65))*('GW-1 Exp'!$U$65*'GW-1 Exp'!$V$65*'GW-1 Exp'!$W$65*'GW-1 Exp'!$X$65*'GW-1 Exp'!$AB$65/'GW-1 Exp'!$Y$65))*3)+(((('GW-1 Inhale'!$I78)/('GW-1 Exp'!$R$66))*('GW-1 Exp'!$S$66+(EXP(-1*'GW-1 Exp'!$R$66*'GW-1 Exp'!$T$66)/'GW-1 Exp'!$R$66)-(EXP('GW-1 Exp'!$R$66*('GW-1 Exp'!$S$66-'GW-1 Exp'!$T$66))/'GW-1 Exp'!$R$66))*('GW-1 Exp'!$U$66*'GW-1 Exp'!$V$66*'GW-1 Exp'!$W$66*'GW-1 Exp'!$X$66*'GW-1 Exp'!$AB$66/'GW-1 Exp'!$Y$66))*1)),0)</f>
        <v>0</v>
      </c>
      <c r="M78" s="518">
        <f>IF(OR((VLOOKUP(A78,[1]!TOX,8,FALSE))=0,J78=0),0,'[1]Target Risk'!$D$8*(VLOOKUP(A78,[1]!TOX,8,FALSE))*'GW-1 Exp'!$Z$58/(VLOOKUP(A78,DWInhale,10,FALSE)))</f>
        <v>27457441.100303039</v>
      </c>
      <c r="N78" s="519">
        <f>IF(OR(K78=0,(VLOOKUP(A78,[1]!TOX,15,FALSE))=0),0,IF(VLOOKUP(A78,[1]!TOX,36,FALSE)="M",'[1]Target Risk'!$D$12/((VLOOKUP(A78,[1]!TOX,15,FALSE))*(VLOOKUP(A78,DWInhale,12,FALSE))), '[1]Target Risk'!$D$12/((VLOOKUP(A78,[1]!TOX,15,FALSE))*(VLOOKUP(A78,DWInhale,11,FALSE)))))</f>
        <v>0</v>
      </c>
      <c r="O78" s="520">
        <f>IF(OR(VLOOKUP(A78,[1]!TOX,15,FALSE)=0, NOT(VLOOKUP(A78,[1]!TOX,36,FALSE)="M")),0,'[1]Target Risk'!$D$12/(VLOOKUP(A78,[1]!TOX,15,FALSE)*VLOOKUP(A78,DWInhale,12,FALSE)))</f>
        <v>0</v>
      </c>
    </row>
    <row r="79" spans="1:15" x14ac:dyDescent="0.25">
      <c r="A79" s="510" t="s">
        <v>227</v>
      </c>
      <c r="B79" s="511">
        <f>(VLOOKUP(A79,[1]!TOX,54,FALSE))</f>
        <v>3.4799999999999999E-7</v>
      </c>
      <c r="C79" s="512">
        <f>(VLOOKUP(A79,[1]!TOX,57,FALSE))</f>
        <v>276</v>
      </c>
      <c r="D79" s="513">
        <f>IF(C79=0,0,'GW-1 Exp'!$F$58*(18/C79)^0.5)</f>
        <v>766.1308776828738</v>
      </c>
      <c r="E79" s="514">
        <f>IF(C79=0,0,'GW-1 Exp'!$G$58*(44/C79)^0.5)</f>
        <v>7.9854940950469047</v>
      </c>
      <c r="F79" s="514">
        <f>IF(B79*D79=0,0,((1/E79)+(('GW-1 Exp'!$E$58*'GW-1 Exp'!$M$58)/(B79*D79)))^-1)</f>
        <v>1.1081476966172434E-2</v>
      </c>
      <c r="G79" s="514">
        <f>F79*(('GW-1 Exp'!$H$58*'GW-1 Exp'!$J$58)/('GW-1 Exp'!$N$58*'GW-1 Exp'!$I$58))^-0.5</f>
        <v>1.4968839396510267E-2</v>
      </c>
      <c r="H79" s="514">
        <f>(1-EXP((-1*G79*'GW-1 Exp'!$D$58)/(60*'GW-1 Exp'!$C$58)))</f>
        <v>4.9883685272211764E-4</v>
      </c>
      <c r="I79" s="515">
        <f>H79*'GW-1 Exp'!$P$58/'GW-1 Exp'!$Q$58</f>
        <v>8.3139475453686273E-4</v>
      </c>
      <c r="J79" s="516">
        <f>(('GW-1 Inhale'!$I79)/('GW-1 Exp'!$R$58))*('GW-1 Exp'!$S$48+(EXP(-1*'GW-1 Exp'!$R$58*'GW-1 Exp'!$T$48)/'GW-1 Exp'!$R$58)-(EXP('GW-1 Exp'!$R$58*('GW-1 Exp'!$S$48-'GW-1 Exp'!$T$48))/'GW-1 Exp'!$R$58))*('GW-1 Exp'!$U$48*'GW-1 Exp'!$V$48*'GW-1 Exp'!$W$48*'GW-1 Exp'!$X$48*'GW-1 Exp'!$AB$58/'GW-1 Exp'!$Y$48)</f>
        <v>5.4429068790996077E-4</v>
      </c>
      <c r="K79" s="758">
        <f>(('GW-1 Inhale'!$I79)/('GW-1 Exp'!$R$58))*('GW-1 Exp'!$S$56+(EXP(-1*'GW-1 Exp'!$R$58*'GW-1 Exp'!$T$56)/'GW-1 Exp'!$R$58)-(EXP('GW-1 Exp'!$R$58*('GW-1 Exp'!$S$56-'GW-1 Exp'!$T$56))/'GW-1 Exp'!$R$58))*('GW-1 Exp'!$U$56*'GW-1 Exp'!$V$56*'GW-1 Exp'!$W$56*'GW-1 Exp'!$X$56*'GW-1 Exp'!$AB$58/'GW-1 Exp'!$Y$56)</f>
        <v>3.9989642358344616E-4</v>
      </c>
      <c r="L79" s="517">
        <f xml:space="preserve"> IF(VLOOKUP(A79,[1]!TOX,36,FALSE)="M",((((('GW-1 Inhale'!$I79)/('GW-1 Exp'!$R$63))*('GW-1 Exp'!$S$63+(EXP(-1*'GW-1 Exp'!$R$63*'GW-1 Exp'!$T$63)/'GW-1 Exp'!$R$63)-(EXP('GW-1 Exp'!$R$63*('GW-1 Exp'!$S$63-'GW-1 Exp'!$T$63))/'GW-1 Exp'!$R$63))*('GW-1 Exp'!$U$63*'GW-1 Exp'!$V$63*'GW-1 Exp'!$W$63*'GW-1 Exp'!$X$63*'GW-1 Exp'!$AB$63/'GW-1 Exp'!$Y$63)*10))+(((('GW-1 Inhale'!$I79)/('GW-1 Exp'!$R$64))*('GW-1 Exp'!$S$64+(EXP(-1*'GW-1 Exp'!$R$64*'GW-1 Exp'!$T$64)/'GW-1 Exp'!$R$64)-(EXP('GW-1 Exp'!$R$64*('GW-1 Exp'!$S$64-'GW-1 Exp'!$T$64))/'GW-1 Exp'!$R$64))*('GW-1 Exp'!$U$64*'GW-1 Exp'!$V$64*'GW-1 Exp'!$W$64*'GW-1 Exp'!$X$64*'GW-1 Exp'!$AB$64/'GW-1 Exp'!$Y$64))*3)+(((('GW-1 Inhale'!$I79)/('GW-1 Exp'!$R$65))*('GW-1 Exp'!$S$65+(EXP(-1*'GW-1 Exp'!$R$65*'GW-1 Exp'!$T$65)/'GW-1 Exp'!$R$65)-(EXP('GW-1 Exp'!$R$65*('GW-1 Exp'!$S$65-'GW-1 Exp'!$T$65))/'GW-1 Exp'!$R$65))*('GW-1 Exp'!$U$65*'GW-1 Exp'!$V$65*'GW-1 Exp'!$W$65*'GW-1 Exp'!$X$65*'GW-1 Exp'!$AB$65/'GW-1 Exp'!$Y$65))*3)+(((('GW-1 Inhale'!$I79)/('GW-1 Exp'!$R$66))*('GW-1 Exp'!$S$66+(EXP(-1*'GW-1 Exp'!$R$66*'GW-1 Exp'!$T$66)/'GW-1 Exp'!$R$66)-(EXP('GW-1 Exp'!$R$66*('GW-1 Exp'!$S$66-'GW-1 Exp'!$T$66))/'GW-1 Exp'!$R$66))*('GW-1 Exp'!$U$66*'GW-1 Exp'!$V$66*'GW-1 Exp'!$W$66*'GW-1 Exp'!$X$66*'GW-1 Exp'!$AB$66/'GW-1 Exp'!$Y$66))*1)),0)</f>
        <v>8.4241653452638563E-4</v>
      </c>
      <c r="M79" s="518">
        <f>IF(OR((VLOOKUP(A79,[1]!TOX,8,FALSE))=0,J79=0),0,'[1]Target Risk'!$D$8*(VLOOKUP(A79,[1]!TOX,8,FALSE))*'GW-1 Exp'!$Z$58/(VLOOKUP(A79,DWInhale,10,FALSE)))</f>
        <v>18372.535525822281</v>
      </c>
      <c r="N79" s="519">
        <f>IF(OR(K79=0,(VLOOKUP(A79,[1]!TOX,15,FALSE))=0),0,IF(VLOOKUP(A79,[1]!TOX,36,FALSE)="M",'[1]Target Risk'!$D$12/((VLOOKUP(A79,[1]!TOX,15,FALSE))*(VLOOKUP(A79,DWInhale,12,FALSE))), '[1]Target Risk'!$D$12/((VLOOKUP(A79,[1]!TOX,15,FALSE))*(VLOOKUP(A79,DWInhale,11,FALSE)))))</f>
        <v>19.784353682037853</v>
      </c>
      <c r="O79" s="520">
        <f>IF(OR(VLOOKUP(A79,[1]!TOX,15,FALSE)=0, NOT(VLOOKUP(A79,[1]!TOX,36,FALSE)="M")),0,'[1]Target Risk'!$D$12/(VLOOKUP(A79,[1]!TOX,15,FALSE)*VLOOKUP(A79,DWInhale,12,FALSE)))</f>
        <v>19.784353682037853</v>
      </c>
    </row>
    <row r="80" spans="1:15" x14ac:dyDescent="0.25">
      <c r="A80" s="510" t="s">
        <v>228</v>
      </c>
      <c r="B80" s="511">
        <f>(VLOOKUP(A80,[1]!TOX,54,FALSE))</f>
        <v>0</v>
      </c>
      <c r="C80" s="512">
        <f>(VLOOKUP(A80,[1]!TOX,57,FALSE))</f>
        <v>207</v>
      </c>
      <c r="D80" s="513">
        <f>IF(C80=0,0,'GW-1 Exp'!$F$58*(18/C80)^0.5)</f>
        <v>884.65173692938276</v>
      </c>
      <c r="E80" s="514">
        <f>IF(C80=0,0,'GW-1 Exp'!$G$58*(44/C80)^0.5)</f>
        <v>9.2208543307749942</v>
      </c>
      <c r="F80" s="514">
        <f>IF(B80*D80=0,0,((1/E80)+(('GW-1 Exp'!$E$58*'GW-1 Exp'!$M$58)/(B80*D80)))^-1)</f>
        <v>0</v>
      </c>
      <c r="G80" s="514">
        <f>F80*(('GW-1 Exp'!$H$58*'GW-1 Exp'!$J$58)/('GW-1 Exp'!$N$58*'GW-1 Exp'!$I$58))^-0.5</f>
        <v>0</v>
      </c>
      <c r="H80" s="514">
        <f>(1-EXP((-1*G80*'GW-1 Exp'!$D$58)/(60*'GW-1 Exp'!$C$58)))</f>
        <v>0</v>
      </c>
      <c r="I80" s="515">
        <f>H80*'GW-1 Exp'!$P$58/'GW-1 Exp'!$Q$58</f>
        <v>0</v>
      </c>
      <c r="J80" s="516">
        <f>(('GW-1 Inhale'!$I80)/('GW-1 Exp'!$R$58))*('GW-1 Exp'!$S$48+(EXP(-1*'GW-1 Exp'!$R$58*'GW-1 Exp'!$T$48)/'GW-1 Exp'!$R$58)-(EXP('GW-1 Exp'!$R$58*('GW-1 Exp'!$S$48-'GW-1 Exp'!$T$48))/'GW-1 Exp'!$R$58))*('GW-1 Exp'!$U$48*'GW-1 Exp'!$V$48*'GW-1 Exp'!$W$48*'GW-1 Exp'!$X$48*'GW-1 Exp'!$AB$58/'GW-1 Exp'!$Y$48)</f>
        <v>0</v>
      </c>
      <c r="K80" s="517">
        <f>(('GW-1 Inhale'!$I80)/('GW-1 Exp'!$R$58))*('GW-1 Exp'!$S$56+(EXP(-1*'GW-1 Exp'!$R$58*'GW-1 Exp'!$T$56)/'GW-1 Exp'!$R$58)-(EXP('GW-1 Exp'!$R$58*('GW-1 Exp'!$S$56-'GW-1 Exp'!$T$56))/'GW-1 Exp'!$R$58))*('GW-1 Exp'!$U$56*'GW-1 Exp'!$V$56*'GW-1 Exp'!$W$56*'GW-1 Exp'!$X$56*'GW-1 Exp'!$AB$58/'GW-1 Exp'!$Y$56)</f>
        <v>0</v>
      </c>
      <c r="L80" s="517">
        <f xml:space="preserve"> IF(VLOOKUP(A80,[1]!TOX,36,FALSE)="M",((((('GW-1 Inhale'!$I80)/('GW-1 Exp'!$R$63))*('GW-1 Exp'!$S$63+(EXP(-1*'GW-1 Exp'!$R$63*'GW-1 Exp'!$T$63)/'GW-1 Exp'!$R$63)-(EXP('GW-1 Exp'!$R$63*('GW-1 Exp'!$S$63-'GW-1 Exp'!$T$63))/'GW-1 Exp'!$R$63))*('GW-1 Exp'!$U$63*'GW-1 Exp'!$V$63*'GW-1 Exp'!$W$63*'GW-1 Exp'!$X$63*'GW-1 Exp'!$AB$63/'GW-1 Exp'!$Y$63)*10))+(((('GW-1 Inhale'!$I80)/('GW-1 Exp'!$R$64))*('GW-1 Exp'!$S$64+(EXP(-1*'GW-1 Exp'!$R$64*'GW-1 Exp'!$T$64)/'GW-1 Exp'!$R$64)-(EXP('GW-1 Exp'!$R$64*('GW-1 Exp'!$S$64-'GW-1 Exp'!$T$64))/'GW-1 Exp'!$R$64))*('GW-1 Exp'!$U$64*'GW-1 Exp'!$V$64*'GW-1 Exp'!$W$64*'GW-1 Exp'!$X$64*'GW-1 Exp'!$AB$64/'GW-1 Exp'!$Y$64))*3)+(((('GW-1 Inhale'!$I80)/('GW-1 Exp'!$R$65))*('GW-1 Exp'!$S$65+(EXP(-1*'GW-1 Exp'!$R$65*'GW-1 Exp'!$T$65)/'GW-1 Exp'!$R$65)-(EXP('GW-1 Exp'!$R$65*('GW-1 Exp'!$S$65-'GW-1 Exp'!$T$65))/'GW-1 Exp'!$R$65))*('GW-1 Exp'!$U$65*'GW-1 Exp'!$V$65*'GW-1 Exp'!$W$65*'GW-1 Exp'!$X$65*'GW-1 Exp'!$AB$65/'GW-1 Exp'!$Y$65))*3)+(((('GW-1 Inhale'!$I80)/('GW-1 Exp'!$R$66))*('GW-1 Exp'!$S$66+(EXP(-1*'GW-1 Exp'!$R$66*'GW-1 Exp'!$T$66)/'GW-1 Exp'!$R$66)-(EXP('GW-1 Exp'!$R$66*('GW-1 Exp'!$S$66-'GW-1 Exp'!$T$66))/'GW-1 Exp'!$R$66))*('GW-1 Exp'!$U$66*'GW-1 Exp'!$V$66*'GW-1 Exp'!$W$66*'GW-1 Exp'!$X$66*'GW-1 Exp'!$AB$66/'GW-1 Exp'!$Y$66))*1)),0)</f>
        <v>0</v>
      </c>
      <c r="M80" s="518">
        <f>IF(OR((VLOOKUP(A80,[1]!TOX,8,FALSE))=0,J80=0),0,'[1]Target Risk'!$D$8*(VLOOKUP(A80,[1]!TOX,8,FALSE))*'GW-1 Exp'!$Z$58/(VLOOKUP(A80,DWInhale,10,FALSE)))</f>
        <v>0</v>
      </c>
      <c r="N80" s="519">
        <f>IF(OR(K80=0,(VLOOKUP(A80,[1]!TOX,15,FALSE))=0),0,IF(VLOOKUP(A80,[1]!TOX,36,FALSE)="M",'[1]Target Risk'!$D$12/((VLOOKUP(A80,[1]!TOX,15,FALSE))*(VLOOKUP(A80,DWInhale,12,FALSE))), '[1]Target Risk'!$D$12/((VLOOKUP(A80,[1]!TOX,15,FALSE))*(VLOOKUP(A80,DWInhale,11,FALSE)))))</f>
        <v>0</v>
      </c>
      <c r="O80" s="520">
        <f>IF(OR(VLOOKUP(A80,[1]!TOX,15,FALSE)=0, NOT(VLOOKUP(A80,[1]!TOX,36,FALSE)="M")),0,'[1]Target Risk'!$D$12/(VLOOKUP(A80,[1]!TOX,15,FALSE)*VLOOKUP(A80,DWInhale,12,FALSE)))</f>
        <v>0</v>
      </c>
    </row>
    <row r="81" spans="1:15" x14ac:dyDescent="0.25">
      <c r="A81" s="510" t="s">
        <v>229</v>
      </c>
      <c r="B81" s="511">
        <f>(VLOOKUP(A81,[1]!TOX,54,FALSE))</f>
        <v>0</v>
      </c>
      <c r="C81" s="512">
        <f>(VLOOKUP(A81,[1]!TOX,57,FALSE))</f>
        <v>201</v>
      </c>
      <c r="D81" s="513">
        <f>IF(C81=0,0,'GW-1 Exp'!$F$58*(18/C81)^0.5)</f>
        <v>897.75840249686962</v>
      </c>
      <c r="E81" s="514">
        <f>IF(C81=0,0,'GW-1 Exp'!$G$58*(44/C81)^0.5)</f>
        <v>9.3574670213004953</v>
      </c>
      <c r="F81" s="514">
        <f>IF(B81*D81=0,0,((1/E81)+(('GW-1 Exp'!$E$58*'GW-1 Exp'!$M$58)/(B81*D81)))^-1)</f>
        <v>0</v>
      </c>
      <c r="G81" s="514">
        <f>F81*(('GW-1 Exp'!$H$58*'GW-1 Exp'!$J$58)/('GW-1 Exp'!$N$58*'GW-1 Exp'!$I$58))^-0.5</f>
        <v>0</v>
      </c>
      <c r="H81" s="514">
        <f>(1-EXP((-1*G81*'GW-1 Exp'!$D$58)/(60*'GW-1 Exp'!$C$58)))</f>
        <v>0</v>
      </c>
      <c r="I81" s="515">
        <f>H81*'GW-1 Exp'!$P$58/'GW-1 Exp'!$Q$58</f>
        <v>0</v>
      </c>
      <c r="J81" s="516">
        <f>(('GW-1 Inhale'!$I81)/('GW-1 Exp'!$R$58))*('GW-1 Exp'!$S$48+(EXP(-1*'GW-1 Exp'!$R$58*'GW-1 Exp'!$T$48)/'GW-1 Exp'!$R$58)-(EXP('GW-1 Exp'!$R$58*('GW-1 Exp'!$S$48-'GW-1 Exp'!$T$48))/'GW-1 Exp'!$R$58))*('GW-1 Exp'!$U$48*'GW-1 Exp'!$V$48*'GW-1 Exp'!$W$48*'GW-1 Exp'!$X$48*'GW-1 Exp'!$AB$58/'GW-1 Exp'!$Y$48)</f>
        <v>0</v>
      </c>
      <c r="K81" s="517">
        <f>(('GW-1 Inhale'!$I81)/('GW-1 Exp'!$R$58))*('GW-1 Exp'!$S$56+(EXP(-1*'GW-1 Exp'!$R$58*'GW-1 Exp'!$T$56)/'GW-1 Exp'!$R$58)-(EXP('GW-1 Exp'!$R$58*('GW-1 Exp'!$S$56-'GW-1 Exp'!$T$56))/'GW-1 Exp'!$R$58))*('GW-1 Exp'!$U$56*'GW-1 Exp'!$V$56*'GW-1 Exp'!$W$56*'GW-1 Exp'!$X$56*'GW-1 Exp'!$AB$58/'GW-1 Exp'!$Y$56)</f>
        <v>0</v>
      </c>
      <c r="L81" s="517">
        <f xml:space="preserve"> IF(VLOOKUP(A81,[1]!TOX,36,FALSE)="M",((((('GW-1 Inhale'!$I81)/('GW-1 Exp'!$R$63))*('GW-1 Exp'!$S$63+(EXP(-1*'GW-1 Exp'!$R$63*'GW-1 Exp'!$T$63)/'GW-1 Exp'!$R$63)-(EXP('GW-1 Exp'!$R$63*('GW-1 Exp'!$S$63-'GW-1 Exp'!$T$63))/'GW-1 Exp'!$R$63))*('GW-1 Exp'!$U$63*'GW-1 Exp'!$V$63*'GW-1 Exp'!$W$63*'GW-1 Exp'!$X$63*'GW-1 Exp'!$AB$63/'GW-1 Exp'!$Y$63)*10))+(((('GW-1 Inhale'!$I81)/('GW-1 Exp'!$R$64))*('GW-1 Exp'!$S$64+(EXP(-1*'GW-1 Exp'!$R$64*'GW-1 Exp'!$T$64)/'GW-1 Exp'!$R$64)-(EXP('GW-1 Exp'!$R$64*('GW-1 Exp'!$S$64-'GW-1 Exp'!$T$64))/'GW-1 Exp'!$R$64))*('GW-1 Exp'!$U$64*'GW-1 Exp'!$V$64*'GW-1 Exp'!$W$64*'GW-1 Exp'!$X$64*'GW-1 Exp'!$AB$64/'GW-1 Exp'!$Y$64))*3)+(((('GW-1 Inhale'!$I81)/('GW-1 Exp'!$R$65))*('GW-1 Exp'!$S$65+(EXP(-1*'GW-1 Exp'!$R$65*'GW-1 Exp'!$T$65)/'GW-1 Exp'!$R$65)-(EXP('GW-1 Exp'!$R$65*('GW-1 Exp'!$S$65-'GW-1 Exp'!$T$65))/'GW-1 Exp'!$R$65))*('GW-1 Exp'!$U$65*'GW-1 Exp'!$V$65*'GW-1 Exp'!$W$65*'GW-1 Exp'!$X$65*'GW-1 Exp'!$AB$65/'GW-1 Exp'!$Y$65))*3)+(((('GW-1 Inhale'!$I81)/('GW-1 Exp'!$R$66))*('GW-1 Exp'!$S$66+(EXP(-1*'GW-1 Exp'!$R$66*'GW-1 Exp'!$T$66)/'GW-1 Exp'!$R$66)-(EXP('GW-1 Exp'!$R$66*('GW-1 Exp'!$S$66-'GW-1 Exp'!$T$66))/'GW-1 Exp'!$R$66))*('GW-1 Exp'!$U$66*'GW-1 Exp'!$V$66*'GW-1 Exp'!$W$66*'GW-1 Exp'!$X$66*'GW-1 Exp'!$AB$66/'GW-1 Exp'!$Y$66))*1)),0)</f>
        <v>0</v>
      </c>
      <c r="M81" s="518">
        <f>IF(OR((VLOOKUP(A81,[1]!TOX,8,FALSE))=0,J81=0),0,'[1]Target Risk'!$D$8*(VLOOKUP(A81,[1]!TOX,8,FALSE))*'GW-1 Exp'!$Z$58/(VLOOKUP(A81,DWInhale,10,FALSE)))</f>
        <v>0</v>
      </c>
      <c r="N81" s="519">
        <f>IF(OR(K81=0,(VLOOKUP(A81,[1]!TOX,15,FALSE))=0),0,IF(VLOOKUP(A81,[1]!TOX,36,FALSE)="M",'[1]Target Risk'!$D$12/((VLOOKUP(A81,[1]!TOX,15,FALSE))*(VLOOKUP(A81,DWInhale,12,FALSE))), '[1]Target Risk'!$D$12/((VLOOKUP(A81,[1]!TOX,15,FALSE))*(VLOOKUP(A81,DWInhale,11,FALSE)))))</f>
        <v>0</v>
      </c>
      <c r="O81" s="520">
        <f>IF(OR(VLOOKUP(A81,[1]!TOX,15,FALSE)=0, NOT(VLOOKUP(A81,[1]!TOX,36,FALSE)="M")),0,'[1]Target Risk'!$D$12/(VLOOKUP(A81,[1]!TOX,15,FALSE)*VLOOKUP(A81,DWInhale,12,FALSE)))</f>
        <v>0</v>
      </c>
    </row>
    <row r="82" spans="1:15" x14ac:dyDescent="0.25">
      <c r="A82" s="510" t="s">
        <v>230</v>
      </c>
      <c r="B82" s="511">
        <f>(VLOOKUP(A82,[1]!TOX,54,FALSE))</f>
        <v>2.03E-7</v>
      </c>
      <c r="C82" s="512">
        <f>(VLOOKUP(A82,[1]!TOX,57,FALSE))</f>
        <v>346</v>
      </c>
      <c r="D82" s="513">
        <f>IF(C82=0,0,'GW-1 Exp'!$F$58*(18/C82)^0.5)</f>
        <v>684.25732914273499</v>
      </c>
      <c r="E82" s="514">
        <f>IF(C82=0,0,'GW-1 Exp'!$G$58*(44/C82)^0.5)</f>
        <v>7.1321141341906031</v>
      </c>
      <c r="F82" s="514">
        <f>IF(B82*D82=0,0,((1/E82)+(('GW-1 Exp'!$E$58*'GW-1 Exp'!$M$58)/(B82*D82)))^-1)</f>
        <v>5.7767306614251585E-3</v>
      </c>
      <c r="G82" s="514">
        <f>F82*(('GW-1 Exp'!$H$58*'GW-1 Exp'!$J$58)/('GW-1 Exp'!$N$58*'GW-1 Exp'!$I$58))^-0.5</f>
        <v>7.8031975134481533E-3</v>
      </c>
      <c r="H82" s="514">
        <f>(1-EXP((-1*G82*'GW-1 Exp'!$D$58)/(60*'GW-1 Exp'!$C$58)))</f>
        <v>2.6007275899686544E-4</v>
      </c>
      <c r="I82" s="515">
        <f>H82*'GW-1 Exp'!$P$58/'GW-1 Exp'!$Q$58</f>
        <v>4.3345459832810906E-4</v>
      </c>
      <c r="J82" s="516">
        <f>(('GW-1 Inhale'!$I82)/('GW-1 Exp'!$R$58))*('GW-1 Exp'!$S$48+(EXP(-1*'GW-1 Exp'!$R$58*'GW-1 Exp'!$T$48)/'GW-1 Exp'!$R$58)-(EXP('GW-1 Exp'!$R$58*('GW-1 Exp'!$S$48-'GW-1 Exp'!$T$48))/'GW-1 Exp'!$R$58))*('GW-1 Exp'!$U$48*'GW-1 Exp'!$V$48*'GW-1 Exp'!$W$48*'GW-1 Exp'!$X$48*'GW-1 Exp'!$AB$58/'GW-1 Exp'!$Y$48)</f>
        <v>2.8377049556100085E-4</v>
      </c>
      <c r="K82" s="517">
        <f>(('GW-1 Inhale'!$I82)/('GW-1 Exp'!$R$58))*('GW-1 Exp'!$S$56+(EXP(-1*'GW-1 Exp'!$R$58*'GW-1 Exp'!$T$56)/'GW-1 Exp'!$R$58)-(EXP('GW-1 Exp'!$R$58*('GW-1 Exp'!$S$56-'GW-1 Exp'!$T$56))/'GW-1 Exp'!$R$58))*('GW-1 Exp'!$U$56*'GW-1 Exp'!$V$56*'GW-1 Exp'!$W$56*'GW-1 Exp'!$X$56*'GW-1 Exp'!$AB$58/'GW-1 Exp'!$Y$56)</f>
        <v>2.0848934000524121E-4</v>
      </c>
      <c r="L82" s="517">
        <f xml:space="preserve"> IF(VLOOKUP(A82,[1]!TOX,36,FALSE)="M",((((('GW-1 Inhale'!$I82)/('GW-1 Exp'!$R$63))*('GW-1 Exp'!$S$63+(EXP(-1*'GW-1 Exp'!$R$63*'GW-1 Exp'!$T$63)/'GW-1 Exp'!$R$63)-(EXP('GW-1 Exp'!$R$63*('GW-1 Exp'!$S$63-'GW-1 Exp'!$T$63))/'GW-1 Exp'!$R$63))*('GW-1 Exp'!$U$63*'GW-1 Exp'!$V$63*'GW-1 Exp'!$W$63*'GW-1 Exp'!$X$63*'GW-1 Exp'!$AB$63/'GW-1 Exp'!$Y$63)*10))+(((('GW-1 Inhale'!$I82)/('GW-1 Exp'!$R$64))*('GW-1 Exp'!$S$64+(EXP(-1*'GW-1 Exp'!$R$64*'GW-1 Exp'!$T$64)/'GW-1 Exp'!$R$64)-(EXP('GW-1 Exp'!$R$64*('GW-1 Exp'!$S$64-'GW-1 Exp'!$T$64))/'GW-1 Exp'!$R$64))*('GW-1 Exp'!$U$64*'GW-1 Exp'!$V$64*'GW-1 Exp'!$W$64*'GW-1 Exp'!$X$64*'GW-1 Exp'!$AB$64/'GW-1 Exp'!$Y$64))*3)+(((('GW-1 Inhale'!$I82)/('GW-1 Exp'!$R$65))*('GW-1 Exp'!$S$65+(EXP(-1*'GW-1 Exp'!$R$65*'GW-1 Exp'!$T$65)/'GW-1 Exp'!$R$65)-(EXP('GW-1 Exp'!$R$65*('GW-1 Exp'!$S$65-'GW-1 Exp'!$T$65))/'GW-1 Exp'!$R$65))*('GW-1 Exp'!$U$65*'GW-1 Exp'!$V$65*'GW-1 Exp'!$W$65*'GW-1 Exp'!$X$65*'GW-1 Exp'!$AB$65/'GW-1 Exp'!$Y$65))*3)+(((('GW-1 Inhale'!$I82)/('GW-1 Exp'!$R$66))*('GW-1 Exp'!$S$66+(EXP(-1*'GW-1 Exp'!$R$66*'GW-1 Exp'!$T$66)/'GW-1 Exp'!$R$66)-(EXP('GW-1 Exp'!$R$66*('GW-1 Exp'!$S$66-'GW-1 Exp'!$T$66))/'GW-1 Exp'!$R$66))*('GW-1 Exp'!$U$66*'GW-1 Exp'!$V$66*'GW-1 Exp'!$W$66*'GW-1 Exp'!$X$66*'GW-1 Exp'!$AB$66/'GW-1 Exp'!$Y$66))*1)),0)</f>
        <v>0</v>
      </c>
      <c r="M82" s="518">
        <f>IF(OR((VLOOKUP(A82,[1]!TOX,8,FALSE))=0,J82=0),0,'[1]Target Risk'!$D$8*(VLOOKUP(A82,[1]!TOX,8,FALSE))*'GW-1 Exp'!$Z$58/(VLOOKUP(A82,DWInhale,10,FALSE)))</f>
        <v>12686.308324207457</v>
      </c>
      <c r="N82" s="519">
        <f>IF(OR(K82=0,(VLOOKUP(A82,[1]!TOX,15,FALSE))=0),0,IF(VLOOKUP(A82,[1]!TOX,36,FALSE)="M",'[1]Target Risk'!$D$12/((VLOOKUP(A82,[1]!TOX,15,FALSE))*(VLOOKUP(A82,DWInhale,12,FALSE))), '[1]Target Risk'!$D$12/((VLOOKUP(A82,[1]!TOX,15,FALSE))*(VLOOKUP(A82,DWInhale,11,FALSE)))))</f>
        <v>0</v>
      </c>
      <c r="O82" s="520">
        <f>IF(OR(VLOOKUP(A82,[1]!TOX,15,FALSE)=0, NOT(VLOOKUP(A82,[1]!TOX,36,FALSE)="M")),0,'[1]Target Risk'!$D$12/(VLOOKUP(A82,[1]!TOX,15,FALSE)*VLOOKUP(A82,DWInhale,12,FALSE)))</f>
        <v>0</v>
      </c>
    </row>
    <row r="83" spans="1:15" x14ac:dyDescent="0.25">
      <c r="A83" s="510" t="s">
        <v>231</v>
      </c>
      <c r="B83" s="511">
        <f>(VLOOKUP(A83,[1]!TOX,54,FALSE))</f>
        <v>5.6900000000000001E-5</v>
      </c>
      <c r="C83" s="512">
        <f>(VLOOKUP(A83,[1]!TOX,57,FALSE))</f>
        <v>72</v>
      </c>
      <c r="D83" s="513">
        <f>IF(C83=0,0,'GW-1 Exp'!$F$58*(18/C83)^0.5)</f>
        <v>1500</v>
      </c>
      <c r="E83" s="514">
        <f>IF(C83=0,0,'GW-1 Exp'!$G$58*(44/C83)^0.5)</f>
        <v>15.634719199411434</v>
      </c>
      <c r="F83" s="514">
        <f>IF(B83*D83=0,0,((1/E83)+(('GW-1 Exp'!$E$58*'GW-1 Exp'!$M$58)/(B83*D83)))^-1)</f>
        <v>2.8946917900770592</v>
      </c>
      <c r="G83" s="514">
        <f>F83*(('GW-1 Exp'!$H$58*'GW-1 Exp'!$J$58)/('GW-1 Exp'!$N$58*'GW-1 Exp'!$I$58))^-0.5</f>
        <v>3.9101445267928621</v>
      </c>
      <c r="H83" s="514">
        <f>(1-EXP((-1*G83*'GW-1 Exp'!$D$58)/(60*'GW-1 Exp'!$C$58)))</f>
        <v>0.122201447635924</v>
      </c>
      <c r="I83" s="515">
        <f>H83*'GW-1 Exp'!$P$58/'GW-1 Exp'!$Q$58</f>
        <v>0.20366907939320666</v>
      </c>
      <c r="J83" s="516">
        <f>(('GW-1 Inhale'!$I83)/('GW-1 Exp'!$R$58))*('GW-1 Exp'!$S$48+(EXP(-1*'GW-1 Exp'!$R$58*'GW-1 Exp'!$T$48)/'GW-1 Exp'!$R$58)-(EXP('GW-1 Exp'!$R$58*('GW-1 Exp'!$S$48-'GW-1 Exp'!$T$48))/'GW-1 Exp'!$R$58))*('GW-1 Exp'!$U$48*'GW-1 Exp'!$V$48*'GW-1 Exp'!$W$48*'GW-1 Exp'!$X$48*'GW-1 Exp'!$AB$58/'GW-1 Exp'!$Y$48)</f>
        <v>0.13333639973549019</v>
      </c>
      <c r="K83" s="517">
        <f>(('GW-1 Inhale'!$I83)/('GW-1 Exp'!$R$58))*('GW-1 Exp'!$S$56+(EXP(-1*'GW-1 Exp'!$R$58*'GW-1 Exp'!$T$56)/'GW-1 Exp'!$R$58)-(EXP('GW-1 Exp'!$R$58*('GW-1 Exp'!$S$56-'GW-1 Exp'!$T$56))/'GW-1 Exp'!$R$58))*('GW-1 Exp'!$U$56*'GW-1 Exp'!$V$56*'GW-1 Exp'!$W$56*'GW-1 Exp'!$X$56*'GW-1 Exp'!$AB$58/'GW-1 Exp'!$Y$56)</f>
        <v>9.7963736238926569E-2</v>
      </c>
      <c r="L83" s="517">
        <f xml:space="preserve"> IF(VLOOKUP(A83,[1]!TOX,36,FALSE)="M",((((('GW-1 Inhale'!$I83)/('GW-1 Exp'!$R$63))*('GW-1 Exp'!$S$63+(EXP(-1*'GW-1 Exp'!$R$63*'GW-1 Exp'!$T$63)/'GW-1 Exp'!$R$63)-(EXP('GW-1 Exp'!$R$63*('GW-1 Exp'!$S$63-'GW-1 Exp'!$T$63))/'GW-1 Exp'!$R$63))*('GW-1 Exp'!$U$63*'GW-1 Exp'!$V$63*'GW-1 Exp'!$W$63*'GW-1 Exp'!$X$63*'GW-1 Exp'!$AB$63/'GW-1 Exp'!$Y$63)*10))+(((('GW-1 Inhale'!$I83)/('GW-1 Exp'!$R$64))*('GW-1 Exp'!$S$64+(EXP(-1*'GW-1 Exp'!$R$64*'GW-1 Exp'!$T$64)/'GW-1 Exp'!$R$64)-(EXP('GW-1 Exp'!$R$64*('GW-1 Exp'!$S$64-'GW-1 Exp'!$T$64))/'GW-1 Exp'!$R$64))*('GW-1 Exp'!$U$64*'GW-1 Exp'!$V$64*'GW-1 Exp'!$W$64*'GW-1 Exp'!$X$64*'GW-1 Exp'!$AB$64/'GW-1 Exp'!$Y$64))*3)+(((('GW-1 Inhale'!$I83)/('GW-1 Exp'!$R$65))*('GW-1 Exp'!$S$65+(EXP(-1*'GW-1 Exp'!$R$65*'GW-1 Exp'!$T$65)/'GW-1 Exp'!$R$65)-(EXP('GW-1 Exp'!$R$65*('GW-1 Exp'!$S$65-'GW-1 Exp'!$T$65))/'GW-1 Exp'!$R$65))*('GW-1 Exp'!$U$65*'GW-1 Exp'!$V$65*'GW-1 Exp'!$W$65*'GW-1 Exp'!$X$65*'GW-1 Exp'!$AB$65/'GW-1 Exp'!$Y$65))*3)+(((('GW-1 Inhale'!$I83)/('GW-1 Exp'!$R$66))*('GW-1 Exp'!$S$66+(EXP(-1*'GW-1 Exp'!$R$66*'GW-1 Exp'!$T$66)/'GW-1 Exp'!$R$66)-(EXP('GW-1 Exp'!$R$66*('GW-1 Exp'!$S$66-'GW-1 Exp'!$T$66))/'GW-1 Exp'!$R$66))*('GW-1 Exp'!$U$66*'GW-1 Exp'!$V$66*'GW-1 Exp'!$W$66*'GW-1 Exp'!$X$66*'GW-1 Exp'!$AB$66/'GW-1 Exp'!$Y$66))*1)),0)</f>
        <v>0</v>
      </c>
      <c r="M83" s="518">
        <f>IF(OR((VLOOKUP(A83,[1]!TOX,8,FALSE))=0,J83=0),0,'[1]Target Risk'!$D$8*(VLOOKUP(A83,[1]!TOX,8,FALSE))*'GW-1 Exp'!$Z$58/(VLOOKUP(A83,DWInhale,10,FALSE)))</f>
        <v>7499.8275188454008</v>
      </c>
      <c r="N83" s="519">
        <f>IF(OR(K83=0,(VLOOKUP(A83,[1]!TOX,15,FALSE))=0),0,IF(VLOOKUP(A83,[1]!TOX,36,FALSE)="M",'[1]Target Risk'!$D$12/((VLOOKUP(A83,[1]!TOX,15,FALSE))*(VLOOKUP(A83,DWInhale,12,FALSE))), '[1]Target Risk'!$D$12/((VLOOKUP(A83,[1]!TOX,15,FALSE))*(VLOOKUP(A83,DWInhale,11,FALSE)))))</f>
        <v>0</v>
      </c>
      <c r="O83" s="520">
        <f>IF(OR(VLOOKUP(A83,[1]!TOX,15,FALSE)=0, NOT(VLOOKUP(A83,[1]!TOX,36,FALSE)="M")),0,'[1]Target Risk'!$D$12/(VLOOKUP(A83,[1]!TOX,15,FALSE)*VLOOKUP(A83,DWInhale,12,FALSE)))</f>
        <v>0</v>
      </c>
    </row>
    <row r="84" spans="1:15" x14ac:dyDescent="0.25">
      <c r="A84" s="510" t="s">
        <v>232</v>
      </c>
      <c r="B84" s="511">
        <f>(VLOOKUP(A84,[1]!TOX,54,FALSE))</f>
        <v>1.3799999999999999E-4</v>
      </c>
      <c r="C84" s="512">
        <f>(VLOOKUP(A84,[1]!TOX,57,FALSE))</f>
        <v>100</v>
      </c>
      <c r="D84" s="513">
        <f>IF(C84=0,0,'GW-1 Exp'!$F$58*(18/C84)^0.5)</f>
        <v>1272.7922061357856</v>
      </c>
      <c r="E84" s="514">
        <f>IF(C84=0,0,'GW-1 Exp'!$G$58*(44/C84)^0.5)</f>
        <v>13.266499161421599</v>
      </c>
      <c r="F84" s="514">
        <f>IF(B84*D84=0,0,((1/E84)+(('GW-1 Exp'!$E$58*'GW-1 Exp'!$M$58)/(B84*D84)))^-1)</f>
        <v>4.7133160119180451</v>
      </c>
      <c r="G84" s="514">
        <f>F84*(('GW-1 Exp'!$H$58*'GW-1 Exp'!$J$58)/('GW-1 Exp'!$N$58*'GW-1 Exp'!$I$58))^-0.5</f>
        <v>6.3667388943525101</v>
      </c>
      <c r="H84" s="514">
        <f>(1-EXP((-1*G84*'GW-1 Exp'!$D$58)/(60*'GW-1 Exp'!$C$58)))</f>
        <v>0.19121699961316152</v>
      </c>
      <c r="I84" s="515">
        <f>H84*'GW-1 Exp'!$P$58/'GW-1 Exp'!$Q$58</f>
        <v>0.31869499935526918</v>
      </c>
      <c r="J84" s="516">
        <f>(('GW-1 Inhale'!$I84)/('GW-1 Exp'!$R$58))*('GW-1 Exp'!$S$48+(EXP(-1*'GW-1 Exp'!$R$58*'GW-1 Exp'!$T$48)/'GW-1 Exp'!$R$58)-(EXP('GW-1 Exp'!$R$58*('GW-1 Exp'!$S$48-'GW-1 Exp'!$T$48))/'GW-1 Exp'!$R$58))*('GW-1 Exp'!$U$48*'GW-1 Exp'!$V$48*'GW-1 Exp'!$W$48*'GW-1 Exp'!$X$48*'GW-1 Exp'!$AB$58/'GW-1 Exp'!$Y$48)</f>
        <v>0.20864062406693104</v>
      </c>
      <c r="K84" s="517">
        <f>(('GW-1 Inhale'!$I84)/('GW-1 Exp'!$R$58))*('GW-1 Exp'!$S$56+(EXP(-1*'GW-1 Exp'!$R$58*'GW-1 Exp'!$T$56)/'GW-1 Exp'!$R$58)-(EXP('GW-1 Exp'!$R$58*('GW-1 Exp'!$S$56-'GW-1 Exp'!$T$56))/'GW-1 Exp'!$R$58))*('GW-1 Exp'!$U$56*'GW-1 Exp'!$V$56*'GW-1 Exp'!$W$56*'GW-1 Exp'!$X$56*'GW-1 Exp'!$AB$58/'GW-1 Exp'!$Y$56)</f>
        <v>0.15329058760672049</v>
      </c>
      <c r="L84" s="517">
        <f xml:space="preserve"> IF(VLOOKUP(A84,[1]!TOX,36,FALSE)="M",((((('GW-1 Inhale'!$I84)/('GW-1 Exp'!$R$63))*('GW-1 Exp'!$S$63+(EXP(-1*'GW-1 Exp'!$R$63*'GW-1 Exp'!$T$63)/'GW-1 Exp'!$R$63)-(EXP('GW-1 Exp'!$R$63*('GW-1 Exp'!$S$63-'GW-1 Exp'!$T$63))/'GW-1 Exp'!$R$63))*('GW-1 Exp'!$U$63*'GW-1 Exp'!$V$63*'GW-1 Exp'!$W$63*'GW-1 Exp'!$X$63*'GW-1 Exp'!$AB$63/'GW-1 Exp'!$Y$63)*10))+(((('GW-1 Inhale'!$I84)/('GW-1 Exp'!$R$64))*('GW-1 Exp'!$S$64+(EXP(-1*'GW-1 Exp'!$R$64*'GW-1 Exp'!$T$64)/'GW-1 Exp'!$R$64)-(EXP('GW-1 Exp'!$R$64*('GW-1 Exp'!$S$64-'GW-1 Exp'!$T$64))/'GW-1 Exp'!$R$64))*('GW-1 Exp'!$U$64*'GW-1 Exp'!$V$64*'GW-1 Exp'!$W$64*'GW-1 Exp'!$X$64*'GW-1 Exp'!$AB$64/'GW-1 Exp'!$Y$64))*3)+(((('GW-1 Inhale'!$I84)/('GW-1 Exp'!$R$65))*('GW-1 Exp'!$S$65+(EXP(-1*'GW-1 Exp'!$R$65*'GW-1 Exp'!$T$65)/'GW-1 Exp'!$R$65)-(EXP('GW-1 Exp'!$R$65*('GW-1 Exp'!$S$65-'GW-1 Exp'!$T$65))/'GW-1 Exp'!$R$65))*('GW-1 Exp'!$U$65*'GW-1 Exp'!$V$65*'GW-1 Exp'!$W$65*'GW-1 Exp'!$X$65*'GW-1 Exp'!$AB$65/'GW-1 Exp'!$Y$65))*3)+(((('GW-1 Inhale'!$I84)/('GW-1 Exp'!$R$66))*('GW-1 Exp'!$S$66+(EXP(-1*'GW-1 Exp'!$R$66*'GW-1 Exp'!$T$66)/'GW-1 Exp'!$R$66)-(EXP('GW-1 Exp'!$R$66*('GW-1 Exp'!$S$66-'GW-1 Exp'!$T$66))/'GW-1 Exp'!$R$66))*('GW-1 Exp'!$U$66*'GW-1 Exp'!$V$66*'GW-1 Exp'!$W$66*'GW-1 Exp'!$X$66*'GW-1 Exp'!$AB$66/'GW-1 Exp'!$Y$66))*1)),0)</f>
        <v>0</v>
      </c>
      <c r="M84" s="518">
        <f>IF(OR((VLOOKUP(A84,[1]!TOX,8,FALSE))=0,J84=0),0,'[1]Target Risk'!$D$8*(VLOOKUP(A84,[1]!TOX,8,FALSE))*'GW-1 Exp'!$Z$58/(VLOOKUP(A84,DWInhale,10,FALSE)))</f>
        <v>2875.7582694323355</v>
      </c>
      <c r="N84" s="519">
        <f>IF(OR(K84=0,(VLOOKUP(A84,[1]!TOX,15,FALSE))=0),0,IF(VLOOKUP(A84,[1]!TOX,36,FALSE)="M",'[1]Target Risk'!$D$12/((VLOOKUP(A84,[1]!TOX,15,FALSE))*(VLOOKUP(A84,DWInhale,12,FALSE))), '[1]Target Risk'!$D$12/((VLOOKUP(A84,[1]!TOX,15,FALSE))*(VLOOKUP(A84,DWInhale,11,FALSE)))))</f>
        <v>0</v>
      </c>
      <c r="O84" s="520">
        <f>IF(OR(VLOOKUP(A84,[1]!TOX,15,FALSE)=0, NOT(VLOOKUP(A84,[1]!TOX,36,FALSE)="M")),0,'[1]Target Risk'!$D$12/(VLOOKUP(A84,[1]!TOX,15,FALSE)*VLOOKUP(A84,DWInhale,12,FALSE)))</f>
        <v>0</v>
      </c>
    </row>
    <row r="85" spans="1:15" x14ac:dyDescent="0.25">
      <c r="A85" s="510" t="s">
        <v>233</v>
      </c>
      <c r="B85" s="511">
        <f>(VLOOKUP(A85,[1]!TOX,54,FALSE))</f>
        <v>0</v>
      </c>
      <c r="C85" s="512">
        <f>(VLOOKUP(A85,[1]!TOX,57,FALSE))</f>
        <v>231</v>
      </c>
      <c r="D85" s="513">
        <f>IF(C85=0,0,'GW-1 Exp'!$F$58*(18/C85)^0.5)</f>
        <v>837.43578935862377</v>
      </c>
      <c r="E85" s="514">
        <f>IF(C85=0,0,'GW-1 Exp'!$G$58*(44/C85)^0.5)</f>
        <v>8.7287156094396945</v>
      </c>
      <c r="F85" s="514">
        <f>IF(B85*D85=0,0,((1/E85)+(('GW-1 Exp'!$E$58*'GW-1 Exp'!$M$58)/(B85*D85)))^-1)</f>
        <v>0</v>
      </c>
      <c r="G85" s="514">
        <f>F85*(('GW-1 Exp'!$H$58*'GW-1 Exp'!$J$58)/('GW-1 Exp'!$N$58*'GW-1 Exp'!$I$58))^-0.5</f>
        <v>0</v>
      </c>
      <c r="H85" s="514">
        <f>(1-EXP((-1*G85*'GW-1 Exp'!$D$58)/(60*'GW-1 Exp'!$C$58)))</f>
        <v>0</v>
      </c>
      <c r="I85" s="515">
        <f>H85*'GW-1 Exp'!$P$58/'GW-1 Exp'!$Q$58</f>
        <v>0</v>
      </c>
      <c r="J85" s="516">
        <f>(('GW-1 Inhale'!$I85)/('GW-1 Exp'!$R$58))*('GW-1 Exp'!$S$48+(EXP(-1*'GW-1 Exp'!$R$58*'GW-1 Exp'!$T$48)/'GW-1 Exp'!$R$58)-(EXP('GW-1 Exp'!$R$58*('GW-1 Exp'!$S$48-'GW-1 Exp'!$T$48))/'GW-1 Exp'!$R$58))*('GW-1 Exp'!$U$48*'GW-1 Exp'!$V$48*'GW-1 Exp'!$W$48*'GW-1 Exp'!$X$48*'GW-1 Exp'!$AB$58/'GW-1 Exp'!$Y$48)</f>
        <v>0</v>
      </c>
      <c r="K85" s="517">
        <f>(('GW-1 Inhale'!$I85)/('GW-1 Exp'!$R$58))*('GW-1 Exp'!$S$56+(EXP(-1*'GW-1 Exp'!$R$58*'GW-1 Exp'!$T$56)/'GW-1 Exp'!$R$58)-(EXP('GW-1 Exp'!$R$58*('GW-1 Exp'!$S$56-'GW-1 Exp'!$T$56))/'GW-1 Exp'!$R$58))*('GW-1 Exp'!$U$56*'GW-1 Exp'!$V$56*'GW-1 Exp'!$W$56*'GW-1 Exp'!$X$56*'GW-1 Exp'!$AB$58/'GW-1 Exp'!$Y$56)</f>
        <v>0</v>
      </c>
      <c r="L85" s="517">
        <f xml:space="preserve"> IF(VLOOKUP(A85,[1]!TOX,36,FALSE)="M",((((('GW-1 Inhale'!$I85)/('GW-1 Exp'!$R$63))*('GW-1 Exp'!$S$63+(EXP(-1*'GW-1 Exp'!$R$63*'GW-1 Exp'!$T$63)/'GW-1 Exp'!$R$63)-(EXP('GW-1 Exp'!$R$63*('GW-1 Exp'!$S$63-'GW-1 Exp'!$T$63))/'GW-1 Exp'!$R$63))*('GW-1 Exp'!$U$63*'GW-1 Exp'!$V$63*'GW-1 Exp'!$W$63*'GW-1 Exp'!$X$63*'GW-1 Exp'!$AB$63/'GW-1 Exp'!$Y$63)*10))+(((('GW-1 Inhale'!$I85)/('GW-1 Exp'!$R$64))*('GW-1 Exp'!$S$64+(EXP(-1*'GW-1 Exp'!$R$64*'GW-1 Exp'!$T$64)/'GW-1 Exp'!$R$64)-(EXP('GW-1 Exp'!$R$64*('GW-1 Exp'!$S$64-'GW-1 Exp'!$T$64))/'GW-1 Exp'!$R$64))*('GW-1 Exp'!$U$64*'GW-1 Exp'!$V$64*'GW-1 Exp'!$W$64*'GW-1 Exp'!$X$64*'GW-1 Exp'!$AB$64/'GW-1 Exp'!$Y$64))*3)+(((('GW-1 Inhale'!$I85)/('GW-1 Exp'!$R$65))*('GW-1 Exp'!$S$65+(EXP(-1*'GW-1 Exp'!$R$65*'GW-1 Exp'!$T$65)/'GW-1 Exp'!$R$65)-(EXP('GW-1 Exp'!$R$65*('GW-1 Exp'!$S$65-'GW-1 Exp'!$T$65))/'GW-1 Exp'!$R$65))*('GW-1 Exp'!$U$65*'GW-1 Exp'!$V$65*'GW-1 Exp'!$W$65*'GW-1 Exp'!$X$65*'GW-1 Exp'!$AB$65/'GW-1 Exp'!$Y$65))*3)+(((('GW-1 Inhale'!$I85)/('GW-1 Exp'!$R$66))*('GW-1 Exp'!$S$66+(EXP(-1*'GW-1 Exp'!$R$66*'GW-1 Exp'!$T$66)/'GW-1 Exp'!$R$66)-(EXP('GW-1 Exp'!$R$66*('GW-1 Exp'!$S$66-'GW-1 Exp'!$T$66))/'GW-1 Exp'!$R$66))*('GW-1 Exp'!$U$66*'GW-1 Exp'!$V$66*'GW-1 Exp'!$W$66*'GW-1 Exp'!$X$66*'GW-1 Exp'!$AB$66/'GW-1 Exp'!$Y$66))*1)),0)</f>
        <v>0</v>
      </c>
      <c r="M85" s="518">
        <f>IF(OR((VLOOKUP(A85,[1]!TOX,8,FALSE))=0,J85=0),0,'[1]Target Risk'!$D$8*(VLOOKUP(A85,[1]!TOX,8,FALSE))*'GW-1 Exp'!$Z$58/(VLOOKUP(A85,DWInhale,10,FALSE)))</f>
        <v>0</v>
      </c>
      <c r="N85" s="519">
        <f>IF(OR(K85=0,(VLOOKUP(A85,[1]!TOX,15,FALSE))=0),0,IF(VLOOKUP(A85,[1]!TOX,36,FALSE)="M",'[1]Target Risk'!$D$12/((VLOOKUP(A85,[1]!TOX,15,FALSE))*(VLOOKUP(A85,DWInhale,12,FALSE))), '[1]Target Risk'!$D$12/((VLOOKUP(A85,[1]!TOX,15,FALSE))*(VLOOKUP(A85,DWInhale,11,FALSE)))))</f>
        <v>0</v>
      </c>
      <c r="O85" s="520">
        <f>IF(OR(VLOOKUP(A85,[1]!TOX,15,FALSE)=0, NOT(VLOOKUP(A85,[1]!TOX,36,FALSE)="M")),0,'[1]Target Risk'!$D$12/(VLOOKUP(A85,[1]!TOX,15,FALSE)*VLOOKUP(A85,DWInhale,12,FALSE)))</f>
        <v>0</v>
      </c>
    </row>
    <row r="86" spans="1:15" x14ac:dyDescent="0.25">
      <c r="A86" s="510" t="s">
        <v>234</v>
      </c>
      <c r="B86" s="511">
        <f>(VLOOKUP(A86,[1]!TOX,54,FALSE))</f>
        <v>5.8699999999999996E-4</v>
      </c>
      <c r="C86" s="512">
        <f>(VLOOKUP(A86,[1]!TOX,57,FALSE))</f>
        <v>88</v>
      </c>
      <c r="D86" s="513">
        <f>IF(C86=0,0,'GW-1 Exp'!$F$58*(18/C86)^0.5)</f>
        <v>1356.8010505999364</v>
      </c>
      <c r="E86" s="514">
        <f>IF(C86=0,0,'GW-1 Exp'!$G$58*(44/C86)^0.5)</f>
        <v>14.142135623730951</v>
      </c>
      <c r="F86" s="514">
        <f>IF(B86*D86=0,0,((1/E86)+(('GW-1 Exp'!$E$58*'GW-1 Exp'!$M$58)/(B86*D86)))^-1)</f>
        <v>9.9130294085648636</v>
      </c>
      <c r="G86" s="514">
        <f>F86*(('GW-1 Exp'!$H$58*'GW-1 Exp'!$J$58)/('GW-1 Exp'!$N$58*'GW-1 Exp'!$I$58))^-0.5</f>
        <v>13.390502511773359</v>
      </c>
      <c r="H86" s="514">
        <f>(1-EXP((-1*G86*'GW-1 Exp'!$D$58)/(60*'GW-1 Exp'!$C$58)))</f>
        <v>0.36004030663301856</v>
      </c>
      <c r="I86" s="515">
        <f>H86*'GW-1 Exp'!$P$58/'GW-1 Exp'!$Q$58</f>
        <v>0.6000671777216976</v>
      </c>
      <c r="J86" s="516">
        <f>(('GW-1 Inhale'!$I86)/('GW-1 Exp'!$R$58))*('GW-1 Exp'!$S$48+(EXP(-1*'GW-1 Exp'!$R$58*'GW-1 Exp'!$T$48)/'GW-1 Exp'!$R$58)-(EXP('GW-1 Exp'!$R$58*('GW-1 Exp'!$S$48-'GW-1 Exp'!$T$48))/'GW-1 Exp'!$R$58))*('GW-1 Exp'!$U$48*'GW-1 Exp'!$V$48*'GW-1 Exp'!$W$48*'GW-1 Exp'!$X$48*'GW-1 Exp'!$AB$58/'GW-1 Exp'!$Y$48)</f>
        <v>0.3928470502995578</v>
      </c>
      <c r="K86" s="517">
        <f>(('GW-1 Inhale'!$I86)/('GW-1 Exp'!$R$58))*('GW-1 Exp'!$S$56+(EXP(-1*'GW-1 Exp'!$R$58*'GW-1 Exp'!$T$56)/'GW-1 Exp'!$R$58)-(EXP('GW-1 Exp'!$R$58*('GW-1 Exp'!$S$56-'GW-1 Exp'!$T$56))/'GW-1 Exp'!$R$58))*('GW-1 Exp'!$U$56*'GW-1 Exp'!$V$56*'GW-1 Exp'!$W$56*'GW-1 Exp'!$X$56*'GW-1 Exp'!$AB$58/'GW-1 Exp'!$Y$56)</f>
        <v>0.28862909823672622</v>
      </c>
      <c r="L86" s="517">
        <f xml:space="preserve"> IF(VLOOKUP(A86,[1]!TOX,36,FALSE)="M",((((('GW-1 Inhale'!$I86)/('GW-1 Exp'!$R$63))*('GW-1 Exp'!$S$63+(EXP(-1*'GW-1 Exp'!$R$63*'GW-1 Exp'!$T$63)/'GW-1 Exp'!$R$63)-(EXP('GW-1 Exp'!$R$63*('GW-1 Exp'!$S$63-'GW-1 Exp'!$T$63))/'GW-1 Exp'!$R$63))*('GW-1 Exp'!$U$63*'GW-1 Exp'!$V$63*'GW-1 Exp'!$W$63*'GW-1 Exp'!$X$63*'GW-1 Exp'!$AB$63/'GW-1 Exp'!$Y$63)*10))+(((('GW-1 Inhale'!$I86)/('GW-1 Exp'!$R$64))*('GW-1 Exp'!$S$64+(EXP(-1*'GW-1 Exp'!$R$64*'GW-1 Exp'!$T$64)/'GW-1 Exp'!$R$64)-(EXP('GW-1 Exp'!$R$64*('GW-1 Exp'!$S$64-'GW-1 Exp'!$T$64))/'GW-1 Exp'!$R$64))*('GW-1 Exp'!$U$64*'GW-1 Exp'!$V$64*'GW-1 Exp'!$W$64*'GW-1 Exp'!$X$64*'GW-1 Exp'!$AB$64/'GW-1 Exp'!$Y$64))*3)+(((('GW-1 Inhale'!$I86)/('GW-1 Exp'!$R$65))*('GW-1 Exp'!$S$65+(EXP(-1*'GW-1 Exp'!$R$65*'GW-1 Exp'!$T$65)/'GW-1 Exp'!$R$65)-(EXP('GW-1 Exp'!$R$65*('GW-1 Exp'!$S$65-'GW-1 Exp'!$T$65))/'GW-1 Exp'!$R$65))*('GW-1 Exp'!$U$65*'GW-1 Exp'!$V$65*'GW-1 Exp'!$W$65*'GW-1 Exp'!$X$65*'GW-1 Exp'!$AB$65/'GW-1 Exp'!$Y$65))*3)+(((('GW-1 Inhale'!$I86)/('GW-1 Exp'!$R$66))*('GW-1 Exp'!$S$66+(EXP(-1*'GW-1 Exp'!$R$66*'GW-1 Exp'!$T$66)/'GW-1 Exp'!$R$66)-(EXP('GW-1 Exp'!$R$66*('GW-1 Exp'!$S$66-'GW-1 Exp'!$T$66))/'GW-1 Exp'!$R$66))*('GW-1 Exp'!$U$66*'GW-1 Exp'!$V$66*'GW-1 Exp'!$W$66*'GW-1 Exp'!$X$66*'GW-1 Exp'!$AB$66/'GW-1 Exp'!$Y$66))*1)),0)</f>
        <v>0</v>
      </c>
      <c r="M86" s="518">
        <f>IF(OR((VLOOKUP(A86,[1]!TOX,8,FALSE))=0,J86=0),0,'[1]Target Risk'!$D$8*(VLOOKUP(A86,[1]!TOX,8,FALSE))*'GW-1 Exp'!$Z$58/(VLOOKUP(A86,DWInhale,10,FALSE)))</f>
        <v>1527.3119641409601</v>
      </c>
      <c r="N86" s="519">
        <f>IF(OR(K86=0,(VLOOKUP(A86,[1]!TOX,15,FALSE))=0),0,IF(VLOOKUP(A86,[1]!TOX,36,FALSE)="M",'[1]Target Risk'!$D$12/((VLOOKUP(A86,[1]!TOX,15,FALSE))*(VLOOKUP(A86,DWInhale,12,FALSE))), '[1]Target Risk'!$D$12/((VLOOKUP(A86,[1]!TOX,15,FALSE))*(VLOOKUP(A86,DWInhale,11,FALSE)))))</f>
        <v>0</v>
      </c>
      <c r="O86" s="520">
        <f>IF(OR(VLOOKUP(A86,[1]!TOX,15,FALSE)=0, NOT(VLOOKUP(A86,[1]!TOX,36,FALSE)="M")),0,'[1]Target Risk'!$D$12/(VLOOKUP(A86,[1]!TOX,15,FALSE)*VLOOKUP(A86,DWInhale,12,FALSE)))</f>
        <v>0</v>
      </c>
    </row>
    <row r="87" spans="1:15" x14ac:dyDescent="0.25">
      <c r="A87" s="510" t="s">
        <v>235</v>
      </c>
      <c r="B87" s="511">
        <f>(VLOOKUP(A87,[1]!TOX,54,FALSE))</f>
        <v>5.1800000000000001E-4</v>
      </c>
      <c r="C87" s="512">
        <f>(VLOOKUP(A87,[1]!TOX,57,FALSE))</f>
        <v>142</v>
      </c>
      <c r="D87" s="513">
        <f>IF(C87=0,0,'GW-1 Exp'!$F$58*(18/C87)^0.5)</f>
        <v>1068.103492374468</v>
      </c>
      <c r="E87" s="514">
        <f>IF(C87=0,0,'GW-1 Exp'!$G$58*(44/C87)^0.5)</f>
        <v>11.132998786123665</v>
      </c>
      <c r="F87" s="514">
        <f>IF(B87*D87=0,0,((1/E87)+(('GW-1 Exp'!$E$58*'GW-1 Exp'!$M$58)/(B87*D87)))^-1)</f>
        <v>7.5048079468153936</v>
      </c>
      <c r="G87" s="514">
        <f>F87*(('GW-1 Exp'!$H$58*'GW-1 Exp'!$J$58)/('GW-1 Exp'!$N$58*'GW-1 Exp'!$I$58))^-0.5</f>
        <v>10.137481240132512</v>
      </c>
      <c r="H87" s="514">
        <f>(1-EXP((-1*G87*'GW-1 Exp'!$D$58)/(60*'GW-1 Exp'!$C$58)))</f>
        <v>0.28674483066567558</v>
      </c>
      <c r="I87" s="515">
        <f>H87*'GW-1 Exp'!$P$58/'GW-1 Exp'!$Q$58</f>
        <v>0.47790805110945928</v>
      </c>
      <c r="J87" s="516">
        <f>(('GW-1 Inhale'!$I87)/('GW-1 Exp'!$R$58))*('GW-1 Exp'!$S$48+(EXP(-1*'GW-1 Exp'!$R$58*'GW-1 Exp'!$T$48)/'GW-1 Exp'!$R$58)-(EXP('GW-1 Exp'!$R$58*('GW-1 Exp'!$S$48-'GW-1 Exp'!$T$48))/'GW-1 Exp'!$R$58))*('GW-1 Exp'!$U$48*'GW-1 Exp'!$V$48*'GW-1 Exp'!$W$48*'GW-1 Exp'!$X$48*'GW-1 Exp'!$AB$58/'GW-1 Exp'!$Y$48)</f>
        <v>0.31287291683837887</v>
      </c>
      <c r="K87" s="517">
        <f>(('GW-1 Inhale'!$I87)/('GW-1 Exp'!$R$58))*('GW-1 Exp'!$S$56+(EXP(-1*'GW-1 Exp'!$R$58*'GW-1 Exp'!$T$56)/'GW-1 Exp'!$R$58)-(EXP('GW-1 Exp'!$R$58*('GW-1 Exp'!$S$56-'GW-1 Exp'!$T$56))/'GW-1 Exp'!$R$58))*('GW-1 Exp'!$U$56*'GW-1 Exp'!$V$56*'GW-1 Exp'!$W$56*'GW-1 Exp'!$X$56*'GW-1 Exp'!$AB$58/'GW-1 Exp'!$Y$56)</f>
        <v>0.22987121267907146</v>
      </c>
      <c r="L87" s="517">
        <f xml:space="preserve"> IF(VLOOKUP(A87,[1]!TOX,36,FALSE)="M",((((('GW-1 Inhale'!$I87)/('GW-1 Exp'!$R$63))*('GW-1 Exp'!$S$63+(EXP(-1*'GW-1 Exp'!$R$63*'GW-1 Exp'!$T$63)/'GW-1 Exp'!$R$63)-(EXP('GW-1 Exp'!$R$63*('GW-1 Exp'!$S$63-'GW-1 Exp'!$T$63))/'GW-1 Exp'!$R$63))*('GW-1 Exp'!$U$63*'GW-1 Exp'!$V$63*'GW-1 Exp'!$W$63*'GW-1 Exp'!$X$63*'GW-1 Exp'!$AB$63/'GW-1 Exp'!$Y$63)*10))+(((('GW-1 Inhale'!$I87)/('GW-1 Exp'!$R$64))*('GW-1 Exp'!$S$64+(EXP(-1*'GW-1 Exp'!$R$64*'GW-1 Exp'!$T$64)/'GW-1 Exp'!$R$64)-(EXP('GW-1 Exp'!$R$64*('GW-1 Exp'!$S$64-'GW-1 Exp'!$T$64))/'GW-1 Exp'!$R$64))*('GW-1 Exp'!$U$64*'GW-1 Exp'!$V$64*'GW-1 Exp'!$W$64*'GW-1 Exp'!$X$64*'GW-1 Exp'!$AB$64/'GW-1 Exp'!$Y$64))*3)+(((('GW-1 Inhale'!$I87)/('GW-1 Exp'!$R$65))*('GW-1 Exp'!$S$65+(EXP(-1*'GW-1 Exp'!$R$65*'GW-1 Exp'!$T$65)/'GW-1 Exp'!$R$65)-(EXP('GW-1 Exp'!$R$65*('GW-1 Exp'!$S$65-'GW-1 Exp'!$T$65))/'GW-1 Exp'!$R$65))*('GW-1 Exp'!$U$65*'GW-1 Exp'!$V$65*'GW-1 Exp'!$W$65*'GW-1 Exp'!$X$65*'GW-1 Exp'!$AB$65/'GW-1 Exp'!$Y$65))*3)+(((('GW-1 Inhale'!$I87)/('GW-1 Exp'!$R$66))*('GW-1 Exp'!$S$66+(EXP(-1*'GW-1 Exp'!$R$66*'GW-1 Exp'!$T$66)/'GW-1 Exp'!$R$66)-(EXP('GW-1 Exp'!$R$66*('GW-1 Exp'!$S$66-'GW-1 Exp'!$T$66))/'GW-1 Exp'!$R$66))*('GW-1 Exp'!$U$66*'GW-1 Exp'!$V$66*'GW-1 Exp'!$W$66*'GW-1 Exp'!$X$66*'GW-1 Exp'!$AB$66/'GW-1 Exp'!$Y$66))*1)),0)</f>
        <v>0</v>
      </c>
      <c r="M87" s="518">
        <f>IF(OR((VLOOKUP(A87,[1]!TOX,8,FALSE))=0,J87=0),0,'[1]Target Risk'!$D$8*(VLOOKUP(A87,[1]!TOX,8,FALSE))*'GW-1 Exp'!$Z$58/(VLOOKUP(A87,DWInhale,10,FALSE)))</f>
        <v>31.961858830899427</v>
      </c>
      <c r="N87" s="519">
        <f>IF(OR(K87=0,(VLOOKUP(A87,[1]!TOX,15,FALSE))=0),0,IF(VLOOKUP(A87,[1]!TOX,36,FALSE)="M",'[1]Target Risk'!$D$12/((VLOOKUP(A87,[1]!TOX,15,FALSE))*(VLOOKUP(A87,DWInhale,12,FALSE))), '[1]Target Risk'!$D$12/((VLOOKUP(A87,[1]!TOX,15,FALSE))*(VLOOKUP(A87,DWInhale,11,FALSE)))))</f>
        <v>0</v>
      </c>
      <c r="O87" s="520">
        <f>IF(OR(VLOOKUP(A87,[1]!TOX,15,FALSE)=0, NOT(VLOOKUP(A87,[1]!TOX,36,FALSE)="M")),0,'[1]Target Risk'!$D$12/(VLOOKUP(A87,[1]!TOX,15,FALSE)*VLOOKUP(A87,DWInhale,12,FALSE)))</f>
        <v>0</v>
      </c>
    </row>
    <row r="88" spans="1:15" x14ac:dyDescent="0.25">
      <c r="A88" s="510" t="s">
        <v>236</v>
      </c>
      <c r="B88" s="511">
        <f>(VLOOKUP(A88,[1]!TOX,54,FALSE))</f>
        <v>4.4000000000000002E-4</v>
      </c>
      <c r="C88" s="512">
        <f>(VLOOKUP(A88,[1]!TOX,57,FALSE))</f>
        <v>128</v>
      </c>
      <c r="D88" s="513">
        <f>IF(C88=0,0,'GW-1 Exp'!$F$58*(18/C88)^0.5)</f>
        <v>1125</v>
      </c>
      <c r="E88" s="514">
        <f>IF(C88=0,0,'GW-1 Exp'!$G$58*(44/C88)^0.5)</f>
        <v>11.726039399558575</v>
      </c>
      <c r="F88" s="514">
        <f>IF(B88*D88=0,0,((1/E88)+(('GW-1 Exp'!$E$58*'GW-1 Exp'!$M$58)/(B88*D88)))^-1)</f>
        <v>7.4728552114157134</v>
      </c>
      <c r="G88" s="514">
        <f>F88*(('GW-1 Exp'!$H$58*'GW-1 Exp'!$J$58)/('GW-1 Exp'!$N$58*'GW-1 Exp'!$I$58))^-0.5</f>
        <v>10.094319541927746</v>
      </c>
      <c r="H88" s="514">
        <f>(1-EXP((-1*G88*'GW-1 Exp'!$D$58)/(60*'GW-1 Exp'!$C$58)))</f>
        <v>0.28571791530723911</v>
      </c>
      <c r="I88" s="515">
        <f>H88*'GW-1 Exp'!$P$58/'GW-1 Exp'!$Q$58</f>
        <v>0.47619652551206521</v>
      </c>
      <c r="J88" s="516">
        <f>(('GW-1 Inhale'!$I88)/('GW-1 Exp'!$R$58))*('GW-1 Exp'!$S$48+(EXP(-1*'GW-1 Exp'!$R$58*'GW-1 Exp'!$T$48)/'GW-1 Exp'!$R$58)-(EXP('GW-1 Exp'!$R$58*('GW-1 Exp'!$S$48-'GW-1 Exp'!$T$48))/'GW-1 Exp'!$R$58))*('GW-1 Exp'!$U$48*'GW-1 Exp'!$V$48*'GW-1 Exp'!$W$48*'GW-1 Exp'!$X$48*'GW-1 Exp'!$AB$58/'GW-1 Exp'!$Y$48)</f>
        <v>0.31175242932062919</v>
      </c>
      <c r="K88" s="517">
        <f>(('GW-1 Inhale'!$I88)/('GW-1 Exp'!$R$58))*('GW-1 Exp'!$S$56+(EXP(-1*'GW-1 Exp'!$R$58*'GW-1 Exp'!$T$56)/'GW-1 Exp'!$R$58)-(EXP('GW-1 Exp'!$R$58*('GW-1 Exp'!$S$56-'GW-1 Exp'!$T$56))/'GW-1 Exp'!$R$58))*('GW-1 Exp'!$U$56*'GW-1 Exp'!$V$56*'GW-1 Exp'!$W$56*'GW-1 Exp'!$X$56*'GW-1 Exp'!$AB$58/'GW-1 Exp'!$Y$56)</f>
        <v>0.22904797803447632</v>
      </c>
      <c r="L88" s="517">
        <f xml:space="preserve"> IF(VLOOKUP(A88,[1]!TOX,36,FALSE)="M",((((('GW-1 Inhale'!$I88)/('GW-1 Exp'!$R$63))*('GW-1 Exp'!$S$63+(EXP(-1*'GW-1 Exp'!$R$63*'GW-1 Exp'!$T$63)/'GW-1 Exp'!$R$63)-(EXP('GW-1 Exp'!$R$63*('GW-1 Exp'!$S$63-'GW-1 Exp'!$T$63))/'GW-1 Exp'!$R$63))*('GW-1 Exp'!$U$63*'GW-1 Exp'!$V$63*'GW-1 Exp'!$W$63*'GW-1 Exp'!$X$63*'GW-1 Exp'!$AB$63/'GW-1 Exp'!$Y$63)*10))+(((('GW-1 Inhale'!$I88)/('GW-1 Exp'!$R$64))*('GW-1 Exp'!$S$64+(EXP(-1*'GW-1 Exp'!$R$64*'GW-1 Exp'!$T$64)/'GW-1 Exp'!$R$64)-(EXP('GW-1 Exp'!$R$64*('GW-1 Exp'!$S$64-'GW-1 Exp'!$T$64))/'GW-1 Exp'!$R$64))*('GW-1 Exp'!$U$64*'GW-1 Exp'!$V$64*'GW-1 Exp'!$W$64*'GW-1 Exp'!$X$64*'GW-1 Exp'!$AB$64/'GW-1 Exp'!$Y$64))*3)+(((('GW-1 Inhale'!$I88)/('GW-1 Exp'!$R$65))*('GW-1 Exp'!$S$65+(EXP(-1*'GW-1 Exp'!$R$65*'GW-1 Exp'!$T$65)/'GW-1 Exp'!$R$65)-(EXP('GW-1 Exp'!$R$65*('GW-1 Exp'!$S$65-'GW-1 Exp'!$T$65))/'GW-1 Exp'!$R$65))*('GW-1 Exp'!$U$65*'GW-1 Exp'!$V$65*'GW-1 Exp'!$W$65*'GW-1 Exp'!$X$65*'GW-1 Exp'!$AB$65/'GW-1 Exp'!$Y$65))*3)+(((('GW-1 Inhale'!$I88)/('GW-1 Exp'!$R$66))*('GW-1 Exp'!$S$66+(EXP(-1*'GW-1 Exp'!$R$66*'GW-1 Exp'!$T$66)/'GW-1 Exp'!$R$66)-(EXP('GW-1 Exp'!$R$66*('GW-1 Exp'!$S$66-'GW-1 Exp'!$T$66))/'GW-1 Exp'!$R$66))*('GW-1 Exp'!$U$66*'GW-1 Exp'!$V$66*'GW-1 Exp'!$W$66*'GW-1 Exp'!$X$66*'GW-1 Exp'!$AB$66/'GW-1 Exp'!$Y$66))*1)),0)</f>
        <v>0</v>
      </c>
      <c r="M88" s="518">
        <f>IF(OR((VLOOKUP(A88,[1]!TOX,8,FALSE))=0,J88=0),0,'[1]Target Risk'!$D$8*(VLOOKUP(A88,[1]!TOX,8,FALSE))*'GW-1 Exp'!$Z$58/(VLOOKUP(A88,DWInhale,10,FALSE)))</f>
        <v>1.9246040882745323</v>
      </c>
      <c r="N88" s="519">
        <f>IF(OR(K88=0,(VLOOKUP(A88,[1]!TOX,15,FALSE))=0),0,IF(VLOOKUP(A88,[1]!TOX,36,FALSE)="M",'[1]Target Risk'!$D$12/((VLOOKUP(A88,[1]!TOX,15,FALSE))*(VLOOKUP(A88,DWInhale,12,FALSE))), '[1]Target Risk'!$D$12/((VLOOKUP(A88,[1]!TOX,15,FALSE))*(VLOOKUP(A88,DWInhale,11,FALSE)))))</f>
        <v>0</v>
      </c>
      <c r="O88" s="520">
        <f>IF(OR(VLOOKUP(A88,[1]!TOX,15,FALSE)=0, NOT(VLOOKUP(A88,[1]!TOX,36,FALSE)="M")),0,'[1]Target Risk'!$D$12/(VLOOKUP(A88,[1]!TOX,15,FALSE)*VLOOKUP(A88,DWInhale,12,FALSE)))</f>
        <v>0</v>
      </c>
    </row>
    <row r="89" spans="1:15" x14ac:dyDescent="0.25">
      <c r="A89" s="510" t="s">
        <v>237</v>
      </c>
      <c r="B89" s="511">
        <f>(VLOOKUP(A89,[1]!TOX,54,FALSE))</f>
        <v>0</v>
      </c>
      <c r="C89" s="512">
        <f>(VLOOKUP(A89,[1]!TOX,57,FALSE))</f>
        <v>59</v>
      </c>
      <c r="D89" s="513">
        <f>IF(C89=0,0,'GW-1 Exp'!$F$58*(18/C89)^0.5)</f>
        <v>1657.034312216982</v>
      </c>
      <c r="E89" s="514">
        <f>IF(C89=0,0,'GW-1 Exp'!$G$58*(44/C89)^0.5)</f>
        <v>17.271510783534911</v>
      </c>
      <c r="F89" s="514">
        <f>IF(B89*D89=0,0,((1/E89)+(('GW-1 Exp'!$E$58*'GW-1 Exp'!$M$58)/(B89*D89)))^-1)</f>
        <v>0</v>
      </c>
      <c r="G89" s="514">
        <f>F89*(('GW-1 Exp'!$H$58*'GW-1 Exp'!$J$58)/('GW-1 Exp'!$N$58*'GW-1 Exp'!$I$58))^-0.5</f>
        <v>0</v>
      </c>
      <c r="H89" s="514">
        <f>(1-EXP((-1*G89*'GW-1 Exp'!$D$58)/(60*'GW-1 Exp'!$C$58)))</f>
        <v>0</v>
      </c>
      <c r="I89" s="515">
        <f>H89*'GW-1 Exp'!$P$58/'GW-1 Exp'!$Q$58</f>
        <v>0</v>
      </c>
      <c r="J89" s="516">
        <f>(('GW-1 Inhale'!$I89)/('GW-1 Exp'!$R$58))*('GW-1 Exp'!$S$48+(EXP(-1*'GW-1 Exp'!$R$58*'GW-1 Exp'!$T$48)/'GW-1 Exp'!$R$58)-(EXP('GW-1 Exp'!$R$58*('GW-1 Exp'!$S$48-'GW-1 Exp'!$T$48))/'GW-1 Exp'!$R$58))*('GW-1 Exp'!$U$48*'GW-1 Exp'!$V$48*'GW-1 Exp'!$W$48*'GW-1 Exp'!$X$48*'GW-1 Exp'!$AB$58/'GW-1 Exp'!$Y$48)</f>
        <v>0</v>
      </c>
      <c r="K89" s="517">
        <f>(('GW-1 Inhale'!$I89)/('GW-1 Exp'!$R$58))*('GW-1 Exp'!$S$56+(EXP(-1*'GW-1 Exp'!$R$58*'GW-1 Exp'!$T$56)/'GW-1 Exp'!$R$58)-(EXP('GW-1 Exp'!$R$58*('GW-1 Exp'!$S$56-'GW-1 Exp'!$T$56))/'GW-1 Exp'!$R$58))*('GW-1 Exp'!$U$56*'GW-1 Exp'!$V$56*'GW-1 Exp'!$W$56*'GW-1 Exp'!$X$56*'GW-1 Exp'!$AB$58/'GW-1 Exp'!$Y$56)</f>
        <v>0</v>
      </c>
      <c r="L89" s="517">
        <f xml:space="preserve"> IF(VLOOKUP(A89,[1]!TOX,36,FALSE)="M",((((('GW-1 Inhale'!$I89)/('GW-1 Exp'!$R$63))*('GW-1 Exp'!$S$63+(EXP(-1*'GW-1 Exp'!$R$63*'GW-1 Exp'!$T$63)/'GW-1 Exp'!$R$63)-(EXP('GW-1 Exp'!$R$63*('GW-1 Exp'!$S$63-'GW-1 Exp'!$T$63))/'GW-1 Exp'!$R$63))*('GW-1 Exp'!$U$63*'GW-1 Exp'!$V$63*'GW-1 Exp'!$W$63*'GW-1 Exp'!$X$63*'GW-1 Exp'!$AB$63/'GW-1 Exp'!$Y$63)*10))+(((('GW-1 Inhale'!$I89)/('GW-1 Exp'!$R$64))*('GW-1 Exp'!$S$64+(EXP(-1*'GW-1 Exp'!$R$64*'GW-1 Exp'!$T$64)/'GW-1 Exp'!$R$64)-(EXP('GW-1 Exp'!$R$64*('GW-1 Exp'!$S$64-'GW-1 Exp'!$T$64))/'GW-1 Exp'!$R$64))*('GW-1 Exp'!$U$64*'GW-1 Exp'!$V$64*'GW-1 Exp'!$W$64*'GW-1 Exp'!$X$64*'GW-1 Exp'!$AB$64/'GW-1 Exp'!$Y$64))*3)+(((('GW-1 Inhale'!$I89)/('GW-1 Exp'!$R$65))*('GW-1 Exp'!$S$65+(EXP(-1*'GW-1 Exp'!$R$65*'GW-1 Exp'!$T$65)/'GW-1 Exp'!$R$65)-(EXP('GW-1 Exp'!$R$65*('GW-1 Exp'!$S$65-'GW-1 Exp'!$T$65))/'GW-1 Exp'!$R$65))*('GW-1 Exp'!$U$65*'GW-1 Exp'!$V$65*'GW-1 Exp'!$W$65*'GW-1 Exp'!$X$65*'GW-1 Exp'!$AB$65/'GW-1 Exp'!$Y$65))*3)+(((('GW-1 Inhale'!$I89)/('GW-1 Exp'!$R$66))*('GW-1 Exp'!$S$66+(EXP(-1*'GW-1 Exp'!$R$66*'GW-1 Exp'!$T$66)/'GW-1 Exp'!$R$66)-(EXP('GW-1 Exp'!$R$66*('GW-1 Exp'!$S$66-'GW-1 Exp'!$T$66))/'GW-1 Exp'!$R$66))*('GW-1 Exp'!$U$66*'GW-1 Exp'!$V$66*'GW-1 Exp'!$W$66*'GW-1 Exp'!$X$66*'GW-1 Exp'!$AB$66/'GW-1 Exp'!$Y$66))*1)),0)</f>
        <v>0</v>
      </c>
      <c r="M89" s="518">
        <f>IF(OR((VLOOKUP(A89,[1]!TOX,8,FALSE))=0,J89=0),0,'[1]Target Risk'!$D$8*(VLOOKUP(A89,[1]!TOX,8,FALSE))*'GW-1 Exp'!$Z$58/(VLOOKUP(A89,DWInhale,10,FALSE)))</f>
        <v>0</v>
      </c>
      <c r="N89" s="519">
        <f>IF(OR(K89=0,(VLOOKUP(A89,[1]!TOX,15,FALSE))=0),0,IF(VLOOKUP(A89,[1]!TOX,36,FALSE)="M",'[1]Target Risk'!$D$12/((VLOOKUP(A89,[1]!TOX,15,FALSE))*(VLOOKUP(A89,DWInhale,12,FALSE))), '[1]Target Risk'!$D$12/((VLOOKUP(A89,[1]!TOX,15,FALSE))*(VLOOKUP(A89,DWInhale,11,FALSE)))))</f>
        <v>0</v>
      </c>
      <c r="O89" s="520">
        <f>IF(OR(VLOOKUP(A89,[1]!TOX,15,FALSE)=0, NOT(VLOOKUP(A89,[1]!TOX,36,FALSE)="M")),0,'[1]Target Risk'!$D$12/(VLOOKUP(A89,[1]!TOX,15,FALSE)*VLOOKUP(A89,DWInhale,12,FALSE)))</f>
        <v>0</v>
      </c>
    </row>
    <row r="90" spans="1:15" x14ac:dyDescent="0.25">
      <c r="A90" s="510" t="s">
        <v>238</v>
      </c>
      <c r="B90" s="511">
        <f>(VLOOKUP(A90,[1]!TOX,54,FALSE))</f>
        <v>2.4500000000000001E-8</v>
      </c>
      <c r="C90" s="512">
        <f>(VLOOKUP(A90,[1]!TOX,57,FALSE))</f>
        <v>266</v>
      </c>
      <c r="D90" s="513">
        <f>IF(C90=0,0,'GW-1 Exp'!$F$58*(18/C90)^0.5)</f>
        <v>780.39897257170799</v>
      </c>
      <c r="E90" s="514">
        <f>IF(C90=0,0,'GW-1 Exp'!$G$58*(44/C90)^0.5)</f>
        <v>8.1342125331118922</v>
      </c>
      <c r="F90" s="514">
        <f>IF(B90*D90=0,0,((1/E90)+(('GW-1 Exp'!$E$58*'GW-1 Exp'!$M$58)/(B90*D90)))^-1)</f>
        <v>7.9571732557550681E-4</v>
      </c>
      <c r="G90" s="514">
        <f>F90*(('GW-1 Exp'!$H$58*'GW-1 Exp'!$J$58)/('GW-1 Exp'!$N$58*'GW-1 Exp'!$I$58))^-0.5</f>
        <v>1.0748535495692599E-3</v>
      </c>
      <c r="H90" s="514">
        <f>(1-EXP((-1*G90*'GW-1 Exp'!$D$58)/(60*'GW-1 Exp'!$C$58)))</f>
        <v>3.5827809821031842E-5</v>
      </c>
      <c r="I90" s="515">
        <f>H90*'GW-1 Exp'!$P$58/'GW-1 Exp'!$Q$58</f>
        <v>5.9713016368386405E-5</v>
      </c>
      <c r="J90" s="516">
        <f>(('GW-1 Inhale'!$I90)/('GW-1 Exp'!$R$58))*('GW-1 Exp'!$S$48+(EXP(-1*'GW-1 Exp'!$R$58*'GW-1 Exp'!$T$48)/'GW-1 Exp'!$R$58)-(EXP('GW-1 Exp'!$R$58*('GW-1 Exp'!$S$48-'GW-1 Exp'!$T$48))/'GW-1 Exp'!$R$58))*('GW-1 Exp'!$U$48*'GW-1 Exp'!$V$48*'GW-1 Exp'!$W$48*'GW-1 Exp'!$X$48*'GW-1 Exp'!$AB$58/'GW-1 Exp'!$Y$48)</f>
        <v>3.9092427007713013E-5</v>
      </c>
      <c r="K90" s="517">
        <f>(('GW-1 Inhale'!$I90)/('GW-1 Exp'!$R$58))*('GW-1 Exp'!$S$56+(EXP(-1*'GW-1 Exp'!$R$58*'GW-1 Exp'!$T$56)/'GW-1 Exp'!$R$58)-(EXP('GW-1 Exp'!$R$58*('GW-1 Exp'!$S$56-'GW-1 Exp'!$T$56))/'GW-1 Exp'!$R$58))*('GW-1 Exp'!$U$56*'GW-1 Exp'!$V$56*'GW-1 Exp'!$W$56*'GW-1 Exp'!$X$56*'GW-1 Exp'!$AB$58/'GW-1 Exp'!$Y$56)</f>
        <v>2.8721641021658323E-5</v>
      </c>
      <c r="L90" s="517">
        <f xml:space="preserve"> IF(VLOOKUP(A90,[1]!TOX,36,FALSE)="M",((((('GW-1 Inhale'!$I90)/('GW-1 Exp'!$R$63))*('GW-1 Exp'!$S$63+(EXP(-1*'GW-1 Exp'!$R$63*'GW-1 Exp'!$T$63)/'GW-1 Exp'!$R$63)-(EXP('GW-1 Exp'!$R$63*('GW-1 Exp'!$S$63-'GW-1 Exp'!$T$63))/'GW-1 Exp'!$R$63))*('GW-1 Exp'!$U$63*'GW-1 Exp'!$V$63*'GW-1 Exp'!$W$63*'GW-1 Exp'!$X$63*'GW-1 Exp'!$AB$63/'GW-1 Exp'!$Y$63)*10))+(((('GW-1 Inhale'!$I90)/('GW-1 Exp'!$R$64))*('GW-1 Exp'!$S$64+(EXP(-1*'GW-1 Exp'!$R$64*'GW-1 Exp'!$T$64)/'GW-1 Exp'!$R$64)-(EXP('GW-1 Exp'!$R$64*('GW-1 Exp'!$S$64-'GW-1 Exp'!$T$64))/'GW-1 Exp'!$R$64))*('GW-1 Exp'!$U$64*'GW-1 Exp'!$V$64*'GW-1 Exp'!$W$64*'GW-1 Exp'!$X$64*'GW-1 Exp'!$AB$64/'GW-1 Exp'!$Y$64))*3)+(((('GW-1 Inhale'!$I90)/('GW-1 Exp'!$R$65))*('GW-1 Exp'!$S$65+(EXP(-1*'GW-1 Exp'!$R$65*'GW-1 Exp'!$T$65)/'GW-1 Exp'!$R$65)-(EXP('GW-1 Exp'!$R$65*('GW-1 Exp'!$S$65-'GW-1 Exp'!$T$65))/'GW-1 Exp'!$R$65))*('GW-1 Exp'!$U$65*'GW-1 Exp'!$V$65*'GW-1 Exp'!$W$65*'GW-1 Exp'!$X$65*'GW-1 Exp'!$AB$65/'GW-1 Exp'!$Y$65))*3)+(((('GW-1 Inhale'!$I90)/('GW-1 Exp'!$R$66))*('GW-1 Exp'!$S$66+(EXP(-1*'GW-1 Exp'!$R$66*'GW-1 Exp'!$T$66)/'GW-1 Exp'!$R$66)-(EXP('GW-1 Exp'!$R$66*('GW-1 Exp'!$S$66-'GW-1 Exp'!$T$66))/'GW-1 Exp'!$R$66))*('GW-1 Exp'!$U$66*'GW-1 Exp'!$V$66*'GW-1 Exp'!$W$66*'GW-1 Exp'!$X$66*'GW-1 Exp'!$AB$66/'GW-1 Exp'!$Y$66))*1)),0)</f>
        <v>0</v>
      </c>
      <c r="M90" s="518">
        <f>IF(OR((VLOOKUP(A90,[1]!TOX,8,FALSE))=0,J90=0),0,'[1]Target Risk'!$D$8*(VLOOKUP(A90,[1]!TOX,8,FALSE))*'GW-1 Exp'!$Z$58/(VLOOKUP(A90,DWInhale,10,FALSE)))</f>
        <v>358.1256287116114</v>
      </c>
      <c r="N90" s="519">
        <f>IF(OR(K90=0,(VLOOKUP(A90,[1]!TOX,15,FALSE))=0),0,IF(VLOOKUP(A90,[1]!TOX,36,FALSE)="M",'[1]Target Risk'!$D$12/((VLOOKUP(A90,[1]!TOX,15,FALSE))*(VLOOKUP(A90,DWInhale,12,FALSE))), '[1]Target Risk'!$D$12/((VLOOKUP(A90,[1]!TOX,15,FALSE))*(VLOOKUP(A90,DWInhale,11,FALSE)))))</f>
        <v>348.16952110985687</v>
      </c>
      <c r="O90" s="520">
        <f>IF(OR(VLOOKUP(A90,[1]!TOX,15,FALSE)=0, NOT(VLOOKUP(A90,[1]!TOX,36,FALSE)="M")),0,'[1]Target Risk'!$D$12/(VLOOKUP(A90,[1]!TOX,15,FALSE)*VLOOKUP(A90,DWInhale,12,FALSE)))</f>
        <v>0</v>
      </c>
    </row>
    <row r="91" spans="1:15" ht="20" x14ac:dyDescent="0.25">
      <c r="A91" s="521" t="s">
        <v>940</v>
      </c>
      <c r="B91" s="511">
        <f>(VLOOKUP(A91,[1]!TOX,54,FALSE))</f>
        <v>0</v>
      </c>
      <c r="C91" s="512">
        <f>(VLOOKUP(A91,[1]!TOX,57,FALSE))</f>
        <v>0</v>
      </c>
      <c r="D91" s="513">
        <f>IF(C91=0,0,'GW-1 Exp'!$F$58*(18/C91)^0.5)</f>
        <v>0</v>
      </c>
      <c r="E91" s="514">
        <f>IF(C91=0,0,'GW-1 Exp'!$G$58*(44/C91)^0.5)</f>
        <v>0</v>
      </c>
      <c r="F91" s="514">
        <f>IF(B91*D91=0,0,((1/E91)+(('GW-1 Exp'!$E$58*'GW-1 Exp'!$M$58)/(B91*D91)))^-1)</f>
        <v>0</v>
      </c>
      <c r="G91" s="514">
        <f>F91*(('GW-1 Exp'!$H$58*'GW-1 Exp'!$J$58)/('GW-1 Exp'!$N$58*'GW-1 Exp'!$I$58))^-0.5</f>
        <v>0</v>
      </c>
      <c r="H91" s="514">
        <f>(1-EXP((-1*G91*'GW-1 Exp'!$D$58)/(60*'GW-1 Exp'!$C$58)))</f>
        <v>0</v>
      </c>
      <c r="I91" s="515">
        <f>H91*'GW-1 Exp'!$P$58/'GW-1 Exp'!$Q$58</f>
        <v>0</v>
      </c>
      <c r="J91" s="516">
        <f>(('GW-1 Inhale'!$I91)/('GW-1 Exp'!$R$58))*('GW-1 Exp'!$S$48+(EXP(-1*'GW-1 Exp'!$R$58*'GW-1 Exp'!$T$48)/'GW-1 Exp'!$R$58)-(EXP('GW-1 Exp'!$R$58*('GW-1 Exp'!$S$48-'GW-1 Exp'!$T$48))/'GW-1 Exp'!$R$58))*('GW-1 Exp'!$U$48*'GW-1 Exp'!$V$48*'GW-1 Exp'!$W$48*'GW-1 Exp'!$X$48*'GW-1 Exp'!$AB$58/'GW-1 Exp'!$Y$48)</f>
        <v>0</v>
      </c>
      <c r="K91" s="517">
        <f>(('GW-1 Inhale'!$I91)/('GW-1 Exp'!$R$58))*('GW-1 Exp'!$S$56+(EXP(-1*'GW-1 Exp'!$R$58*'GW-1 Exp'!$T$56)/'GW-1 Exp'!$R$58)-(EXP('GW-1 Exp'!$R$58*('GW-1 Exp'!$S$56-'GW-1 Exp'!$T$56))/'GW-1 Exp'!$R$58))*('GW-1 Exp'!$U$56*'GW-1 Exp'!$V$56*'GW-1 Exp'!$W$56*'GW-1 Exp'!$X$56*'GW-1 Exp'!$AB$58/'GW-1 Exp'!$Y$56)</f>
        <v>0</v>
      </c>
      <c r="L91" s="517">
        <f xml:space="preserve"> IF(VLOOKUP(A91,[1]!TOX,36,FALSE)="M",((((('GW-1 Inhale'!$I91)/('GW-1 Exp'!$R$63))*('GW-1 Exp'!$S$63+(EXP(-1*'GW-1 Exp'!$R$63*'GW-1 Exp'!$T$63)/'GW-1 Exp'!$R$63)-(EXP('GW-1 Exp'!$R$63*('GW-1 Exp'!$S$63-'GW-1 Exp'!$T$63))/'GW-1 Exp'!$R$63))*('GW-1 Exp'!$U$63*'GW-1 Exp'!$V$63*'GW-1 Exp'!$W$63*'GW-1 Exp'!$X$63*'GW-1 Exp'!$AB$63/'GW-1 Exp'!$Y$63)*10))+(((('GW-1 Inhale'!$I91)/('GW-1 Exp'!$R$64))*('GW-1 Exp'!$S$64+(EXP(-1*'GW-1 Exp'!$R$64*'GW-1 Exp'!$T$64)/'GW-1 Exp'!$R$64)-(EXP('GW-1 Exp'!$R$64*('GW-1 Exp'!$S$64-'GW-1 Exp'!$T$64))/'GW-1 Exp'!$R$64))*('GW-1 Exp'!$U$64*'GW-1 Exp'!$V$64*'GW-1 Exp'!$W$64*'GW-1 Exp'!$X$64*'GW-1 Exp'!$AB$64/'GW-1 Exp'!$Y$64))*3)+(((('GW-1 Inhale'!$I91)/('GW-1 Exp'!$R$65))*('GW-1 Exp'!$S$65+(EXP(-1*'GW-1 Exp'!$R$65*'GW-1 Exp'!$T$65)/'GW-1 Exp'!$R$65)-(EXP('GW-1 Exp'!$R$65*('GW-1 Exp'!$S$65-'GW-1 Exp'!$T$65))/'GW-1 Exp'!$R$65))*('GW-1 Exp'!$U$65*'GW-1 Exp'!$V$65*'GW-1 Exp'!$W$65*'GW-1 Exp'!$X$65*'GW-1 Exp'!$AB$65/'GW-1 Exp'!$Y$65))*3)+(((('GW-1 Inhale'!$I91)/('GW-1 Exp'!$R$66))*('GW-1 Exp'!$S$66+(EXP(-1*'GW-1 Exp'!$R$66*'GW-1 Exp'!$T$66)/'GW-1 Exp'!$R$66)-(EXP('GW-1 Exp'!$R$66*('GW-1 Exp'!$S$66-'GW-1 Exp'!$T$66))/'GW-1 Exp'!$R$66))*('GW-1 Exp'!$U$66*'GW-1 Exp'!$V$66*'GW-1 Exp'!$W$66*'GW-1 Exp'!$X$66*'GW-1 Exp'!$AB$66/'GW-1 Exp'!$Y$66))*1)),0)</f>
        <v>0</v>
      </c>
      <c r="M91" s="518">
        <f>IF(OR((VLOOKUP(A91,[1]!TOX,8,FALSE))=0,J91=0),0,'[1]Target Risk'!$D$8*(VLOOKUP(A91,[1]!TOX,8,FALSE))*'GW-1 Exp'!$Z$58/(VLOOKUP(A91,DWInhale,10,FALSE)))</f>
        <v>0</v>
      </c>
      <c r="N91" s="519">
        <f>IF(OR(K91=0,(VLOOKUP(A91,[1]!TOX,15,FALSE))=0),0,IF(VLOOKUP(A91,[1]!TOX,36,FALSE)="M",'[1]Target Risk'!$D$12/((VLOOKUP(A91,[1]!TOX,15,FALSE))*(VLOOKUP(A91,DWInhale,12,FALSE))), '[1]Target Risk'!$D$12/((VLOOKUP(A91,[1]!TOX,15,FALSE))*(VLOOKUP(A91,DWInhale,11,FALSE)))))</f>
        <v>0</v>
      </c>
      <c r="O91" s="520">
        <f>IF(OR(VLOOKUP(A91,[1]!TOX,15,FALSE)=0, NOT(VLOOKUP(A91,[1]!TOX,36,FALSE)="M")),0,'[1]Target Risk'!$D$12/(VLOOKUP(A91,[1]!TOX,15,FALSE)*VLOOKUP(A91,DWInhale,12,FALSE)))</f>
        <v>0</v>
      </c>
    </row>
    <row r="92" spans="1:15" x14ac:dyDescent="0.25">
      <c r="A92" s="521" t="s">
        <v>949</v>
      </c>
      <c r="B92" s="511">
        <f>(VLOOKUP(A92,[1]!TOX,54,FALSE))</f>
        <v>0</v>
      </c>
      <c r="C92" s="512">
        <f>(VLOOKUP(A92,[1]!TOX,57,FALSE))</f>
        <v>514</v>
      </c>
      <c r="D92" s="513">
        <f>IF(C92=0,0,'GW-1 Exp'!$F$58*(18/C92)^0.5)</f>
        <v>561.40457539662475</v>
      </c>
      <c r="E92" s="514">
        <f>IF(C92=0,0,'GW-1 Exp'!$G$58*(44/C92)^0.5)</f>
        <v>5.8516019290606884</v>
      </c>
      <c r="F92" s="514">
        <f>IF(B92*D92=0,0,((1/E92)+(('GW-1 Exp'!$E$58*'GW-1 Exp'!$M$58)/(B92*D92)))^-1)</f>
        <v>0</v>
      </c>
      <c r="G92" s="514">
        <f>F92*(('GW-1 Exp'!$H$58*'GW-1 Exp'!$J$58)/('GW-1 Exp'!$N$58*'GW-1 Exp'!$I$58))^-0.5</f>
        <v>0</v>
      </c>
      <c r="H92" s="514">
        <f>(1-EXP((-1*G92*'GW-1 Exp'!$D$58)/(60*'GW-1 Exp'!$C$58)))</f>
        <v>0</v>
      </c>
      <c r="I92" s="515">
        <f>H92*'GW-1 Exp'!$P$58/'GW-1 Exp'!$Q$58</f>
        <v>0</v>
      </c>
      <c r="J92" s="516">
        <f>(('GW-1 Inhale'!$I92)/('GW-1 Exp'!$R$58))*('GW-1 Exp'!$S$48+(EXP(-1*'GW-1 Exp'!$R$58*'GW-1 Exp'!$T$48)/'GW-1 Exp'!$R$58)-(EXP('GW-1 Exp'!$R$58*('GW-1 Exp'!$S$48-'GW-1 Exp'!$T$48))/'GW-1 Exp'!$R$58))*('GW-1 Exp'!$U$48*'GW-1 Exp'!$V$48*'GW-1 Exp'!$W$48*'GW-1 Exp'!$X$48*'GW-1 Exp'!$AB$58/'GW-1 Exp'!$Y$48)</f>
        <v>0</v>
      </c>
      <c r="K92" s="517">
        <f>(('GW-1 Inhale'!$I92)/('GW-1 Exp'!$R$58))*('GW-1 Exp'!$S$56+(EXP(-1*'GW-1 Exp'!$R$58*'GW-1 Exp'!$T$56)/'GW-1 Exp'!$R$58)-(EXP('GW-1 Exp'!$R$58*('GW-1 Exp'!$S$56-'GW-1 Exp'!$T$56))/'GW-1 Exp'!$R$58))*('GW-1 Exp'!$U$56*'GW-1 Exp'!$V$56*'GW-1 Exp'!$W$56*'GW-1 Exp'!$X$56*'GW-1 Exp'!$AB$58/'GW-1 Exp'!$Y$56)</f>
        <v>0</v>
      </c>
      <c r="L92" s="517">
        <f xml:space="preserve"> IF(VLOOKUP(A92,[1]!TOX,36,FALSE)="M",((((('GW-1 Inhale'!$I92)/('GW-1 Exp'!$R$63))*('GW-1 Exp'!$S$63+(EXP(-1*'GW-1 Exp'!$R$63*'GW-1 Exp'!$T$63)/'GW-1 Exp'!$R$63)-(EXP('GW-1 Exp'!$R$63*('GW-1 Exp'!$S$63-'GW-1 Exp'!$T$63))/'GW-1 Exp'!$R$63))*('GW-1 Exp'!$U$63*'GW-1 Exp'!$V$63*'GW-1 Exp'!$W$63*'GW-1 Exp'!$X$63*'GW-1 Exp'!$AB$63/'GW-1 Exp'!$Y$63)*10))+(((('GW-1 Inhale'!$I92)/('GW-1 Exp'!$R$64))*('GW-1 Exp'!$S$64+(EXP(-1*'GW-1 Exp'!$R$64*'GW-1 Exp'!$T$64)/'GW-1 Exp'!$R$64)-(EXP('GW-1 Exp'!$R$64*('GW-1 Exp'!$S$64-'GW-1 Exp'!$T$64))/'GW-1 Exp'!$R$64))*('GW-1 Exp'!$U$64*'GW-1 Exp'!$V$64*'GW-1 Exp'!$W$64*'GW-1 Exp'!$X$64*'GW-1 Exp'!$AB$64/'GW-1 Exp'!$Y$64))*3)+(((('GW-1 Inhale'!$I92)/('GW-1 Exp'!$R$65))*('GW-1 Exp'!$S$65+(EXP(-1*'GW-1 Exp'!$R$65*'GW-1 Exp'!$T$65)/'GW-1 Exp'!$R$65)-(EXP('GW-1 Exp'!$R$65*('GW-1 Exp'!$S$65-'GW-1 Exp'!$T$65))/'GW-1 Exp'!$R$65))*('GW-1 Exp'!$U$65*'GW-1 Exp'!$V$65*'GW-1 Exp'!$W$65*'GW-1 Exp'!$X$65*'GW-1 Exp'!$AB$65/'GW-1 Exp'!$Y$65))*3)+(((('GW-1 Inhale'!$I92)/('GW-1 Exp'!$R$66))*('GW-1 Exp'!$S$66+(EXP(-1*'GW-1 Exp'!$R$66*'GW-1 Exp'!$T$66)/'GW-1 Exp'!$R$66)-(EXP('GW-1 Exp'!$R$66*('GW-1 Exp'!$S$66-'GW-1 Exp'!$T$66))/'GW-1 Exp'!$R$66))*('GW-1 Exp'!$U$66*'GW-1 Exp'!$V$66*'GW-1 Exp'!$W$66*'GW-1 Exp'!$X$66*'GW-1 Exp'!$AB$66/'GW-1 Exp'!$Y$66))*1)),0)</f>
        <v>0</v>
      </c>
      <c r="M92" s="518">
        <f>IF(OR((VLOOKUP(A92,[1]!TOX,8,FALSE))=0,J92=0),0,'[1]Target Risk'!$D$8*(VLOOKUP(A92,[1]!TOX,8,FALSE))*'GW-1 Exp'!$Z$58/(VLOOKUP(A92,DWInhale,10,FALSE)))</f>
        <v>0</v>
      </c>
      <c r="N92" s="519">
        <f>IF(OR(K92=0,(VLOOKUP(A92,[1]!TOX,15,FALSE))=0),0,IF(VLOOKUP(A92,[1]!TOX,36,FALSE)="M",'[1]Target Risk'!$D$12/((VLOOKUP(A92,[1]!TOX,15,FALSE))*(VLOOKUP(A92,DWInhale,12,FALSE))), '[1]Target Risk'!$D$12/((VLOOKUP(A92,[1]!TOX,15,FALSE))*(VLOOKUP(A92,DWInhale,11,FALSE)))))</f>
        <v>0</v>
      </c>
      <c r="O92" s="520">
        <f>IF(OR(VLOOKUP(A92,[1]!TOX,15,FALSE)=0, NOT(VLOOKUP(A92,[1]!TOX,36,FALSE)="M")),0,'[1]Target Risk'!$D$12/(VLOOKUP(A92,[1]!TOX,15,FALSE)*VLOOKUP(A92,DWInhale,12,FALSE)))</f>
        <v>0</v>
      </c>
    </row>
    <row r="93" spans="1:15" x14ac:dyDescent="0.25">
      <c r="A93" s="510" t="s">
        <v>891</v>
      </c>
      <c r="B93" s="511">
        <f>(VLOOKUP(A93,[1]!TOX,54,FALSE))</f>
        <v>0</v>
      </c>
      <c r="C93" s="512">
        <f>(VLOOKUP(A93,[1]!TOX,57,FALSE))</f>
        <v>364</v>
      </c>
      <c r="D93" s="513">
        <f>IF(C93=0,0,'GW-1 Exp'!$F$58*(18/C93)^0.5)</f>
        <v>667.12438499499103</v>
      </c>
      <c r="E93" s="514">
        <f>IF(C93=0,0,'GW-1 Exp'!$G$58*(44/C93)^0.5)</f>
        <v>6.9535349536511539</v>
      </c>
      <c r="F93" s="514">
        <f>IF(B93*D93=0,0,((1/E93)+(('GW-1 Exp'!$E$58*'GW-1 Exp'!$M$58)/(B93*D93)))^-1)</f>
        <v>0</v>
      </c>
      <c r="G93" s="514">
        <f>F93*(('GW-1 Exp'!$H$58*'GW-1 Exp'!$J$58)/('GW-1 Exp'!$N$58*'GW-1 Exp'!$I$58))^-0.5</f>
        <v>0</v>
      </c>
      <c r="H93" s="514">
        <f>(1-EXP((-1*G93*'GW-1 Exp'!$D$58)/(60*'GW-1 Exp'!$C$58)))</f>
        <v>0</v>
      </c>
      <c r="I93" s="515">
        <f>H93*'GW-1 Exp'!$P$58/'GW-1 Exp'!$Q$58</f>
        <v>0</v>
      </c>
      <c r="J93" s="516">
        <f>(('GW-1 Inhale'!$I93)/('GW-1 Exp'!$R$58))*('GW-1 Exp'!$S$48+(EXP(-1*'GW-1 Exp'!$R$58*'GW-1 Exp'!$T$48)/'GW-1 Exp'!$R$58)-(EXP('GW-1 Exp'!$R$58*('GW-1 Exp'!$S$48-'GW-1 Exp'!$T$48))/'GW-1 Exp'!$R$58))*('GW-1 Exp'!$U$48*'GW-1 Exp'!$V$48*'GW-1 Exp'!$W$48*'GW-1 Exp'!$X$48*'GW-1 Exp'!$AB$58/'GW-1 Exp'!$Y$48)</f>
        <v>0</v>
      </c>
      <c r="K93" s="517">
        <f>(('GW-1 Inhale'!$I93)/('GW-1 Exp'!$R$58))*('GW-1 Exp'!$S$56+(EXP(-1*'GW-1 Exp'!$R$58*'GW-1 Exp'!$T$56)/'GW-1 Exp'!$R$58)-(EXP('GW-1 Exp'!$R$58*('GW-1 Exp'!$S$56-'GW-1 Exp'!$T$56))/'GW-1 Exp'!$R$58))*('GW-1 Exp'!$U$56*'GW-1 Exp'!$V$56*'GW-1 Exp'!$W$56*'GW-1 Exp'!$X$56*'GW-1 Exp'!$AB$58/'GW-1 Exp'!$Y$56)</f>
        <v>0</v>
      </c>
      <c r="L93" s="517">
        <f xml:space="preserve"> IF(VLOOKUP(A93,[1]!TOX,36,FALSE)="M",((((('GW-1 Inhale'!$I93)/('GW-1 Exp'!$R$63))*('GW-1 Exp'!$S$63+(EXP(-1*'GW-1 Exp'!$R$63*'GW-1 Exp'!$T$63)/'GW-1 Exp'!$R$63)-(EXP('GW-1 Exp'!$R$63*('GW-1 Exp'!$S$63-'GW-1 Exp'!$T$63))/'GW-1 Exp'!$R$63))*('GW-1 Exp'!$U$63*'GW-1 Exp'!$V$63*'GW-1 Exp'!$W$63*'GW-1 Exp'!$X$63*'GW-1 Exp'!$AB$63/'GW-1 Exp'!$Y$63)*10))+(((('GW-1 Inhale'!$I93)/('GW-1 Exp'!$R$64))*('GW-1 Exp'!$S$64+(EXP(-1*'GW-1 Exp'!$R$64*'GW-1 Exp'!$T$64)/'GW-1 Exp'!$R$64)-(EXP('GW-1 Exp'!$R$64*('GW-1 Exp'!$S$64-'GW-1 Exp'!$T$64))/'GW-1 Exp'!$R$64))*('GW-1 Exp'!$U$64*'GW-1 Exp'!$V$64*'GW-1 Exp'!$W$64*'GW-1 Exp'!$X$64*'GW-1 Exp'!$AB$64/'GW-1 Exp'!$Y$64))*3)+(((('GW-1 Inhale'!$I93)/('GW-1 Exp'!$R$65))*('GW-1 Exp'!$S$65+(EXP(-1*'GW-1 Exp'!$R$65*'GW-1 Exp'!$T$65)/'GW-1 Exp'!$R$65)-(EXP('GW-1 Exp'!$R$65*('GW-1 Exp'!$S$65-'GW-1 Exp'!$T$65))/'GW-1 Exp'!$R$65))*('GW-1 Exp'!$U$65*'GW-1 Exp'!$V$65*'GW-1 Exp'!$W$65*'GW-1 Exp'!$X$65*'GW-1 Exp'!$AB$65/'GW-1 Exp'!$Y$65))*3)+(((('GW-1 Inhale'!$I93)/('GW-1 Exp'!$R$66))*('GW-1 Exp'!$S$66+(EXP(-1*'GW-1 Exp'!$R$66*'GW-1 Exp'!$T$66)/'GW-1 Exp'!$R$66)-(EXP('GW-1 Exp'!$R$66*('GW-1 Exp'!$S$66-'GW-1 Exp'!$T$66))/'GW-1 Exp'!$R$66))*('GW-1 Exp'!$U$66*'GW-1 Exp'!$V$66*'GW-1 Exp'!$W$66*'GW-1 Exp'!$X$66*'GW-1 Exp'!$AB$66/'GW-1 Exp'!$Y$66))*1)),0)</f>
        <v>0</v>
      </c>
      <c r="M93" s="518">
        <f>IF(OR((VLOOKUP(A93,[1]!TOX,8,FALSE))=0,J93=0),0,'[1]Target Risk'!$D$8*(VLOOKUP(A93,[1]!TOX,8,FALSE))*'GW-1 Exp'!$Z$58/(VLOOKUP(A93,DWInhale,10,FALSE)))</f>
        <v>0</v>
      </c>
      <c r="N93" s="519">
        <f>IF(OR(K93=0,(VLOOKUP(A93,[1]!TOX,15,FALSE))=0),0,IF(VLOOKUP(A93,[1]!TOX,36,FALSE)="M",'[1]Target Risk'!$D$12/((VLOOKUP(A93,[1]!TOX,15,FALSE))*(VLOOKUP(A93,DWInhale,12,FALSE))), '[1]Target Risk'!$D$12/((VLOOKUP(A93,[1]!TOX,15,FALSE))*(VLOOKUP(A93,DWInhale,11,FALSE)))))</f>
        <v>0</v>
      </c>
      <c r="O93" s="520">
        <f>IF(OR(VLOOKUP(A93,[1]!TOX,15,FALSE)=0, NOT(VLOOKUP(A93,[1]!TOX,36,FALSE)="M")),0,'[1]Target Risk'!$D$12/(VLOOKUP(A93,[1]!TOX,15,FALSE)*VLOOKUP(A93,DWInhale,12,FALSE)))</f>
        <v>0</v>
      </c>
    </row>
    <row r="94" spans="1:15" x14ac:dyDescent="0.25">
      <c r="A94" s="510" t="s">
        <v>892</v>
      </c>
      <c r="B94" s="511">
        <f>(VLOOKUP(A94,[1]!TOX,54,FALSE))</f>
        <v>0</v>
      </c>
      <c r="C94" s="512">
        <f>(VLOOKUP(A94,[1]!TOX,57,FALSE))</f>
        <v>400</v>
      </c>
      <c r="D94" s="513">
        <f>IF(C94=0,0,'GW-1 Exp'!$F$58*(18/C94)^0.5)</f>
        <v>636.3961030678928</v>
      </c>
      <c r="E94" s="514">
        <f>IF(C94=0,0,'GW-1 Exp'!$G$58*(44/C94)^0.5)</f>
        <v>6.6332495807107996</v>
      </c>
      <c r="F94" s="514">
        <f>IF(B94*D94=0,0,((1/E94)+(('GW-1 Exp'!$E$58*'GW-1 Exp'!$M$58)/(B94*D94)))^-1)</f>
        <v>0</v>
      </c>
      <c r="G94" s="514">
        <f>F94*(('GW-1 Exp'!$H$58*'GW-1 Exp'!$J$58)/('GW-1 Exp'!$N$58*'GW-1 Exp'!$I$58))^-0.5</f>
        <v>0</v>
      </c>
      <c r="H94" s="514">
        <f>(1-EXP((-1*G94*'GW-1 Exp'!$D$58)/(60*'GW-1 Exp'!$C$58)))</f>
        <v>0</v>
      </c>
      <c r="I94" s="515">
        <f>H94*'GW-1 Exp'!$P$58/'GW-1 Exp'!$Q$58</f>
        <v>0</v>
      </c>
      <c r="J94" s="516">
        <f>(('GW-1 Inhale'!$I94)/('GW-1 Exp'!$R$58))*('GW-1 Exp'!$S$48+(EXP(-1*'GW-1 Exp'!$R$58*'GW-1 Exp'!$T$48)/'GW-1 Exp'!$R$58)-(EXP('GW-1 Exp'!$R$58*('GW-1 Exp'!$S$48-'GW-1 Exp'!$T$48))/'GW-1 Exp'!$R$58))*('GW-1 Exp'!$U$48*'GW-1 Exp'!$V$48*'GW-1 Exp'!$W$48*'GW-1 Exp'!$X$48*'GW-1 Exp'!$AB$58/'GW-1 Exp'!$Y$48)</f>
        <v>0</v>
      </c>
      <c r="K94" s="517">
        <f>(('GW-1 Inhale'!$I94)/('GW-1 Exp'!$R$58))*('GW-1 Exp'!$S$56+(EXP(-1*'GW-1 Exp'!$R$58*'GW-1 Exp'!$T$56)/'GW-1 Exp'!$R$58)-(EXP('GW-1 Exp'!$R$58*('GW-1 Exp'!$S$56-'GW-1 Exp'!$T$56))/'GW-1 Exp'!$R$58))*('GW-1 Exp'!$U$56*'GW-1 Exp'!$V$56*'GW-1 Exp'!$W$56*'GW-1 Exp'!$X$56*'GW-1 Exp'!$AB$58/'GW-1 Exp'!$Y$56)</f>
        <v>0</v>
      </c>
      <c r="L94" s="517">
        <f xml:space="preserve"> IF(VLOOKUP(A94,[1]!TOX,36,FALSE)="M",((((('GW-1 Inhale'!$I94)/('GW-1 Exp'!$R$63))*('GW-1 Exp'!$S$63+(EXP(-1*'GW-1 Exp'!$R$63*'GW-1 Exp'!$T$63)/'GW-1 Exp'!$R$63)-(EXP('GW-1 Exp'!$R$63*('GW-1 Exp'!$S$63-'GW-1 Exp'!$T$63))/'GW-1 Exp'!$R$63))*('GW-1 Exp'!$U$63*'GW-1 Exp'!$V$63*'GW-1 Exp'!$W$63*'GW-1 Exp'!$X$63*'GW-1 Exp'!$AB$63/'GW-1 Exp'!$Y$63)*10))+(((('GW-1 Inhale'!$I94)/('GW-1 Exp'!$R$64))*('GW-1 Exp'!$S$64+(EXP(-1*'GW-1 Exp'!$R$64*'GW-1 Exp'!$T$64)/'GW-1 Exp'!$R$64)-(EXP('GW-1 Exp'!$R$64*('GW-1 Exp'!$S$64-'GW-1 Exp'!$T$64))/'GW-1 Exp'!$R$64))*('GW-1 Exp'!$U$64*'GW-1 Exp'!$V$64*'GW-1 Exp'!$W$64*'GW-1 Exp'!$X$64*'GW-1 Exp'!$AB$64/'GW-1 Exp'!$Y$64))*3)+(((('GW-1 Inhale'!$I94)/('GW-1 Exp'!$R$65))*('GW-1 Exp'!$S$65+(EXP(-1*'GW-1 Exp'!$R$65*'GW-1 Exp'!$T$65)/'GW-1 Exp'!$R$65)-(EXP('GW-1 Exp'!$R$65*('GW-1 Exp'!$S$65-'GW-1 Exp'!$T$65))/'GW-1 Exp'!$R$65))*('GW-1 Exp'!$U$65*'GW-1 Exp'!$V$65*'GW-1 Exp'!$W$65*'GW-1 Exp'!$X$65*'GW-1 Exp'!$AB$65/'GW-1 Exp'!$Y$65))*3)+(((('GW-1 Inhale'!$I94)/('GW-1 Exp'!$R$66))*('GW-1 Exp'!$S$66+(EXP(-1*'GW-1 Exp'!$R$66*'GW-1 Exp'!$T$66)/'GW-1 Exp'!$R$66)-(EXP('GW-1 Exp'!$R$66*('GW-1 Exp'!$S$66-'GW-1 Exp'!$T$66))/'GW-1 Exp'!$R$66))*('GW-1 Exp'!$U$66*'GW-1 Exp'!$V$66*'GW-1 Exp'!$W$66*'GW-1 Exp'!$X$66*'GW-1 Exp'!$AB$66/'GW-1 Exp'!$Y$66))*1)),0)</f>
        <v>0</v>
      </c>
      <c r="M94" s="518">
        <f>IF(OR((VLOOKUP(A94,[1]!TOX,8,FALSE))=0,J94=0),0,'[1]Target Risk'!$D$8*(VLOOKUP(A94,[1]!TOX,8,FALSE))*'GW-1 Exp'!$Z$58/(VLOOKUP(A94,DWInhale,10,FALSE)))</f>
        <v>0</v>
      </c>
      <c r="N94" s="519">
        <f>IF(OR(K94=0,(VLOOKUP(A94,[1]!TOX,15,FALSE))=0),0,IF(VLOOKUP(A94,[1]!TOX,36,FALSE)="M",'[1]Target Risk'!$D$12/((VLOOKUP(A94,[1]!TOX,15,FALSE))*(VLOOKUP(A94,DWInhale,12,FALSE))), '[1]Target Risk'!$D$12/((VLOOKUP(A94,[1]!TOX,15,FALSE))*(VLOOKUP(A94,DWInhale,11,FALSE)))))</f>
        <v>0</v>
      </c>
      <c r="O94" s="520">
        <f>IF(OR(VLOOKUP(A94,[1]!TOX,15,FALSE)=0, NOT(VLOOKUP(A94,[1]!TOX,36,FALSE)="M")),0,'[1]Target Risk'!$D$12/(VLOOKUP(A94,[1]!TOX,15,FALSE)*VLOOKUP(A94,DWInhale,12,FALSE)))</f>
        <v>0</v>
      </c>
    </row>
    <row r="95" spans="1:15" x14ac:dyDescent="0.25">
      <c r="A95" s="510" t="s">
        <v>890</v>
      </c>
      <c r="B95" s="511">
        <f>(VLOOKUP(A95,[1]!TOX,54,FALSE))</f>
        <v>0</v>
      </c>
      <c r="C95" s="512">
        <f>(VLOOKUP(A95,[1]!TOX,57,FALSE))</f>
        <v>414</v>
      </c>
      <c r="D95" s="513">
        <f>IF(C95=0,0,'GW-1 Exp'!$F$58*(18/C95)^0.5)</f>
        <v>625.54324217122428</v>
      </c>
      <c r="E95" s="514">
        <f>IF(C95=0,0,'GW-1 Exp'!$G$58*(44/C95)^0.5)</f>
        <v>6.520128625624344</v>
      </c>
      <c r="F95" s="514">
        <f>IF(B95*D95=0,0,((1/E95)+(('GW-1 Exp'!$E$58*'GW-1 Exp'!$M$58)/(B95*D95)))^-1)</f>
        <v>0</v>
      </c>
      <c r="G95" s="514">
        <f>F95*(('GW-1 Exp'!$H$58*'GW-1 Exp'!$J$58)/('GW-1 Exp'!$N$58*'GW-1 Exp'!$I$58))^-0.5</f>
        <v>0</v>
      </c>
      <c r="H95" s="514">
        <f>(1-EXP((-1*G95*'GW-1 Exp'!$D$58)/(60*'GW-1 Exp'!$C$58)))</f>
        <v>0</v>
      </c>
      <c r="I95" s="515">
        <f>H95*'GW-1 Exp'!$P$58/'GW-1 Exp'!$Q$58</f>
        <v>0</v>
      </c>
      <c r="J95" s="516">
        <f>(('GW-1 Inhale'!$I95)/('GW-1 Exp'!$R$58))*('GW-1 Exp'!$S$48+(EXP(-1*'GW-1 Exp'!$R$58*'GW-1 Exp'!$T$48)/'GW-1 Exp'!$R$58)-(EXP('GW-1 Exp'!$R$58*('GW-1 Exp'!$S$48-'GW-1 Exp'!$T$48))/'GW-1 Exp'!$R$58))*('GW-1 Exp'!$U$48*'GW-1 Exp'!$V$48*'GW-1 Exp'!$W$48*'GW-1 Exp'!$X$48*'GW-1 Exp'!$AB$58/'GW-1 Exp'!$Y$48)</f>
        <v>0</v>
      </c>
      <c r="K95" s="517">
        <f>(('GW-1 Inhale'!$I95)/('GW-1 Exp'!$R$58))*('GW-1 Exp'!$S$56+(EXP(-1*'GW-1 Exp'!$R$58*'GW-1 Exp'!$T$56)/'GW-1 Exp'!$R$58)-(EXP('GW-1 Exp'!$R$58*('GW-1 Exp'!$S$56-'GW-1 Exp'!$T$56))/'GW-1 Exp'!$R$58))*('GW-1 Exp'!$U$56*'GW-1 Exp'!$V$56*'GW-1 Exp'!$W$56*'GW-1 Exp'!$X$56*'GW-1 Exp'!$AB$58/'GW-1 Exp'!$Y$56)</f>
        <v>0</v>
      </c>
      <c r="L95" s="517">
        <f xml:space="preserve"> IF(VLOOKUP(A95,[1]!TOX,36,FALSE)="M",((((('GW-1 Inhale'!$I95)/('GW-1 Exp'!$R$63))*('GW-1 Exp'!$S$63+(EXP(-1*'GW-1 Exp'!$R$63*'GW-1 Exp'!$T$63)/'GW-1 Exp'!$R$63)-(EXP('GW-1 Exp'!$R$63*('GW-1 Exp'!$S$63-'GW-1 Exp'!$T$63))/'GW-1 Exp'!$R$63))*('GW-1 Exp'!$U$63*'GW-1 Exp'!$V$63*'GW-1 Exp'!$W$63*'GW-1 Exp'!$X$63*'GW-1 Exp'!$AB$63/'GW-1 Exp'!$Y$63)*10))+(((('GW-1 Inhale'!$I95)/('GW-1 Exp'!$R$64))*('GW-1 Exp'!$S$64+(EXP(-1*'GW-1 Exp'!$R$64*'GW-1 Exp'!$T$64)/'GW-1 Exp'!$R$64)-(EXP('GW-1 Exp'!$R$64*('GW-1 Exp'!$S$64-'GW-1 Exp'!$T$64))/'GW-1 Exp'!$R$64))*('GW-1 Exp'!$U$64*'GW-1 Exp'!$V$64*'GW-1 Exp'!$W$64*'GW-1 Exp'!$X$64*'GW-1 Exp'!$AB$64/'GW-1 Exp'!$Y$64))*3)+(((('GW-1 Inhale'!$I95)/('GW-1 Exp'!$R$65))*('GW-1 Exp'!$S$65+(EXP(-1*'GW-1 Exp'!$R$65*'GW-1 Exp'!$T$65)/'GW-1 Exp'!$R$65)-(EXP('GW-1 Exp'!$R$65*('GW-1 Exp'!$S$65-'GW-1 Exp'!$T$65))/'GW-1 Exp'!$R$65))*('GW-1 Exp'!$U$65*'GW-1 Exp'!$V$65*'GW-1 Exp'!$W$65*'GW-1 Exp'!$X$65*'GW-1 Exp'!$AB$65/'GW-1 Exp'!$Y$65))*3)+(((('GW-1 Inhale'!$I95)/('GW-1 Exp'!$R$66))*('GW-1 Exp'!$S$66+(EXP(-1*'GW-1 Exp'!$R$66*'GW-1 Exp'!$T$66)/'GW-1 Exp'!$R$66)-(EXP('GW-1 Exp'!$R$66*('GW-1 Exp'!$S$66-'GW-1 Exp'!$T$66))/'GW-1 Exp'!$R$66))*('GW-1 Exp'!$U$66*'GW-1 Exp'!$V$66*'GW-1 Exp'!$W$66*'GW-1 Exp'!$X$66*'GW-1 Exp'!$AB$66/'GW-1 Exp'!$Y$66))*1)),0)</f>
        <v>0</v>
      </c>
      <c r="M95" s="518">
        <f>IF(OR((VLOOKUP(A95,[1]!TOX,8,FALSE))=0,J95=0),0,'[1]Target Risk'!$D$8*(VLOOKUP(A95,[1]!TOX,8,FALSE))*'GW-1 Exp'!$Z$58/(VLOOKUP(A95,DWInhale,10,FALSE)))</f>
        <v>0</v>
      </c>
      <c r="N95" s="519">
        <f>IF(OR(K95=0,(VLOOKUP(A95,[1]!TOX,15,FALSE))=0),0,IF(VLOOKUP(A95,[1]!TOX,36,FALSE)="M",'[1]Target Risk'!$D$12/((VLOOKUP(A95,[1]!TOX,15,FALSE))*(VLOOKUP(A95,DWInhale,12,FALSE))), '[1]Target Risk'!$D$12/((VLOOKUP(A95,[1]!TOX,15,FALSE))*(VLOOKUP(A95,DWInhale,11,FALSE)))))</f>
        <v>0</v>
      </c>
      <c r="O95" s="520">
        <f>IF(OR(VLOOKUP(A95,[1]!TOX,15,FALSE)=0, NOT(VLOOKUP(A95,[1]!TOX,36,FALSE)="M")),0,'[1]Target Risk'!$D$12/(VLOOKUP(A95,[1]!TOX,15,FALSE)*VLOOKUP(A95,DWInhale,12,FALSE)))</f>
        <v>0</v>
      </c>
    </row>
    <row r="96" spans="1:15" x14ac:dyDescent="0.25">
      <c r="A96" s="510" t="s">
        <v>927</v>
      </c>
      <c r="B96" s="511">
        <f>(VLOOKUP(A96,[1]!TOX,54,FALSE))</f>
        <v>0</v>
      </c>
      <c r="C96" s="512">
        <f>(VLOOKUP(A96,[1]!TOX,57,FALSE))</f>
        <v>500</v>
      </c>
      <c r="D96" s="513">
        <f>IF(C96=0,0,'GW-1 Exp'!$F$58*(18/C96)^0.5)</f>
        <v>569.20997883030827</v>
      </c>
      <c r="E96" s="514">
        <f>IF(C96=0,0,'GW-1 Exp'!$G$58*(44/C96)^0.5)</f>
        <v>5.9329587896765297</v>
      </c>
      <c r="F96" s="514">
        <f>IF(B96*D96=0,0,((1/E96)+(('GW-1 Exp'!$E$58*'GW-1 Exp'!$M$58)/(B96*D96)))^-1)</f>
        <v>0</v>
      </c>
      <c r="G96" s="514">
        <f>F96*(('GW-1 Exp'!$H$58*'GW-1 Exp'!$J$58)/('GW-1 Exp'!$N$58*'GW-1 Exp'!$I$58))^-0.5</f>
        <v>0</v>
      </c>
      <c r="H96" s="514">
        <f>(1-EXP((-1*G96*'GW-1 Exp'!$D$58)/(60*'GW-1 Exp'!$C$58)))</f>
        <v>0</v>
      </c>
      <c r="I96" s="515">
        <f>H96*'GW-1 Exp'!$P$58/'GW-1 Exp'!$Q$58</f>
        <v>0</v>
      </c>
      <c r="J96" s="516">
        <f>(('GW-1 Inhale'!$I96)/('GW-1 Exp'!$R$58))*('GW-1 Exp'!$S$48+(EXP(-1*'GW-1 Exp'!$R$58*'GW-1 Exp'!$T$48)/'GW-1 Exp'!$R$58)-(EXP('GW-1 Exp'!$R$58*('GW-1 Exp'!$S$48-'GW-1 Exp'!$T$48))/'GW-1 Exp'!$R$58))*('GW-1 Exp'!$U$48*'GW-1 Exp'!$V$48*'GW-1 Exp'!$W$48*'GW-1 Exp'!$X$48*'GW-1 Exp'!$AB$58/'GW-1 Exp'!$Y$48)</f>
        <v>0</v>
      </c>
      <c r="K96" s="517">
        <f>(('GW-1 Inhale'!$I96)/('GW-1 Exp'!$R$58))*('GW-1 Exp'!$S$56+(EXP(-1*'GW-1 Exp'!$R$58*'GW-1 Exp'!$T$56)/'GW-1 Exp'!$R$58)-(EXP('GW-1 Exp'!$R$58*('GW-1 Exp'!$S$56-'GW-1 Exp'!$T$56))/'GW-1 Exp'!$R$58))*('GW-1 Exp'!$U$56*'GW-1 Exp'!$V$56*'GW-1 Exp'!$W$56*'GW-1 Exp'!$X$56*'GW-1 Exp'!$AB$58/'GW-1 Exp'!$Y$56)</f>
        <v>0</v>
      </c>
      <c r="L96" s="517">
        <f xml:space="preserve"> IF(VLOOKUP(A96,[1]!TOX,36,FALSE)="M",((((('GW-1 Inhale'!$I96)/('GW-1 Exp'!$R$63))*('GW-1 Exp'!$S$63+(EXP(-1*'GW-1 Exp'!$R$63*'GW-1 Exp'!$T$63)/'GW-1 Exp'!$R$63)-(EXP('GW-1 Exp'!$R$63*('GW-1 Exp'!$S$63-'GW-1 Exp'!$T$63))/'GW-1 Exp'!$R$63))*('GW-1 Exp'!$U$63*'GW-1 Exp'!$V$63*'GW-1 Exp'!$W$63*'GW-1 Exp'!$X$63*'GW-1 Exp'!$AB$63/'GW-1 Exp'!$Y$63)*10))+(((('GW-1 Inhale'!$I96)/('GW-1 Exp'!$R$64))*('GW-1 Exp'!$S$64+(EXP(-1*'GW-1 Exp'!$R$64*'GW-1 Exp'!$T$64)/'GW-1 Exp'!$R$64)-(EXP('GW-1 Exp'!$R$64*('GW-1 Exp'!$S$64-'GW-1 Exp'!$T$64))/'GW-1 Exp'!$R$64))*('GW-1 Exp'!$U$64*'GW-1 Exp'!$V$64*'GW-1 Exp'!$W$64*'GW-1 Exp'!$X$64*'GW-1 Exp'!$AB$64/'GW-1 Exp'!$Y$64))*3)+(((('GW-1 Inhale'!$I96)/('GW-1 Exp'!$R$65))*('GW-1 Exp'!$S$65+(EXP(-1*'GW-1 Exp'!$R$65*'GW-1 Exp'!$T$65)/'GW-1 Exp'!$R$65)-(EXP('GW-1 Exp'!$R$65*('GW-1 Exp'!$S$65-'GW-1 Exp'!$T$65))/'GW-1 Exp'!$R$65))*('GW-1 Exp'!$U$65*'GW-1 Exp'!$V$65*'GW-1 Exp'!$W$65*'GW-1 Exp'!$X$65*'GW-1 Exp'!$AB$65/'GW-1 Exp'!$Y$65))*3)+(((('GW-1 Inhale'!$I96)/('GW-1 Exp'!$R$66))*('GW-1 Exp'!$S$66+(EXP(-1*'GW-1 Exp'!$R$66*'GW-1 Exp'!$T$66)/'GW-1 Exp'!$R$66)-(EXP('GW-1 Exp'!$R$66*('GW-1 Exp'!$S$66-'GW-1 Exp'!$T$66))/'GW-1 Exp'!$R$66))*('GW-1 Exp'!$U$66*'GW-1 Exp'!$V$66*'GW-1 Exp'!$W$66*'GW-1 Exp'!$X$66*'GW-1 Exp'!$AB$66/'GW-1 Exp'!$Y$66))*1)),0)</f>
        <v>0</v>
      </c>
      <c r="M96" s="518">
        <f>IF(OR((VLOOKUP(A96,[1]!TOX,8,FALSE))=0,J96=0),0,'[1]Target Risk'!$D$8*(VLOOKUP(A96,[1]!TOX,8,FALSE))*'GW-1 Exp'!$Z$58/(VLOOKUP(A96,DWInhale,10,FALSE)))</f>
        <v>0</v>
      </c>
      <c r="N96" s="519">
        <f>IF(OR(K96=0,(VLOOKUP(A96,[1]!TOX,15,FALSE))=0),0,IF(VLOOKUP(A96,[1]!TOX,36,FALSE)="M",'[1]Target Risk'!$D$12/((VLOOKUP(A96,[1]!TOX,15,FALSE))*(VLOOKUP(A96,DWInhale,12,FALSE))), '[1]Target Risk'!$D$12/((VLOOKUP(A96,[1]!TOX,15,FALSE))*(VLOOKUP(A96,DWInhale,11,FALSE)))))</f>
        <v>0</v>
      </c>
      <c r="O96" s="520">
        <f>IF(OR(VLOOKUP(A96,[1]!TOX,15,FALSE)=0, NOT(VLOOKUP(A96,[1]!TOX,36,FALSE)="M")),0,'[1]Target Risk'!$D$12/(VLOOKUP(A96,[1]!TOX,15,FALSE)*VLOOKUP(A96,DWInhale,12,FALSE)))</f>
        <v>0</v>
      </c>
    </row>
    <row r="97" spans="1:15" x14ac:dyDescent="0.25">
      <c r="A97" s="510" t="s">
        <v>893</v>
      </c>
      <c r="B97" s="511">
        <f>(VLOOKUP(A97,[1]!TOX,54,FALSE))</f>
        <v>0</v>
      </c>
      <c r="C97" s="512">
        <f>(VLOOKUP(A97,[1]!TOX,57,FALSE))</f>
        <v>464</v>
      </c>
      <c r="D97" s="513">
        <f>IF(C97=0,0,'GW-1 Exp'!$F$58*(18/C97)^0.5)</f>
        <v>590.87894786875154</v>
      </c>
      <c r="E97" s="514">
        <f>IF(C97=0,0,'GW-1 Exp'!$G$58*(44/C97)^0.5)</f>
        <v>6.1588176205143972</v>
      </c>
      <c r="F97" s="514">
        <f>IF(B97*D97=0,0,((1/E97)+(('GW-1 Exp'!$E$58*'GW-1 Exp'!$M$58)/(B97*D97)))^-1)</f>
        <v>0</v>
      </c>
      <c r="G97" s="514">
        <f>F97*(('GW-1 Exp'!$H$58*'GW-1 Exp'!$J$58)/('GW-1 Exp'!$N$58*'GW-1 Exp'!$I$58))^-0.5</f>
        <v>0</v>
      </c>
      <c r="H97" s="514">
        <f>(1-EXP((-1*G97*'GW-1 Exp'!$D$58)/(60*'GW-1 Exp'!$C$58)))</f>
        <v>0</v>
      </c>
      <c r="I97" s="515">
        <f>H97*'GW-1 Exp'!$P$58/'GW-1 Exp'!$Q$58</f>
        <v>0</v>
      </c>
      <c r="J97" s="516">
        <f>(('GW-1 Inhale'!$I97)/('GW-1 Exp'!$R$58))*('GW-1 Exp'!$S$48+(EXP(-1*'GW-1 Exp'!$R$58*'GW-1 Exp'!$T$48)/'GW-1 Exp'!$R$58)-(EXP('GW-1 Exp'!$R$58*('GW-1 Exp'!$S$48-'GW-1 Exp'!$T$48))/'GW-1 Exp'!$R$58))*('GW-1 Exp'!$U$48*'GW-1 Exp'!$V$48*'GW-1 Exp'!$W$48*'GW-1 Exp'!$X$48*'GW-1 Exp'!$AB$58/'GW-1 Exp'!$Y$48)</f>
        <v>0</v>
      </c>
      <c r="K97" s="517">
        <f>(('GW-1 Inhale'!$I97)/('GW-1 Exp'!$R$58))*('GW-1 Exp'!$S$56+(EXP(-1*'GW-1 Exp'!$R$58*'GW-1 Exp'!$T$56)/'GW-1 Exp'!$R$58)-(EXP('GW-1 Exp'!$R$58*('GW-1 Exp'!$S$56-'GW-1 Exp'!$T$56))/'GW-1 Exp'!$R$58))*('GW-1 Exp'!$U$56*'GW-1 Exp'!$V$56*'GW-1 Exp'!$W$56*'GW-1 Exp'!$X$56*'GW-1 Exp'!$AB$58/'GW-1 Exp'!$Y$56)</f>
        <v>0</v>
      </c>
      <c r="L97" s="517">
        <f xml:space="preserve"> IF(VLOOKUP(A97,[1]!TOX,36,FALSE)="M",((((('GW-1 Inhale'!$I97)/('GW-1 Exp'!$R$63))*('GW-1 Exp'!$S$63+(EXP(-1*'GW-1 Exp'!$R$63*'GW-1 Exp'!$T$63)/'GW-1 Exp'!$R$63)-(EXP('GW-1 Exp'!$R$63*('GW-1 Exp'!$S$63-'GW-1 Exp'!$T$63))/'GW-1 Exp'!$R$63))*('GW-1 Exp'!$U$63*'GW-1 Exp'!$V$63*'GW-1 Exp'!$W$63*'GW-1 Exp'!$X$63*'GW-1 Exp'!$AB$63/'GW-1 Exp'!$Y$63)*10))+(((('GW-1 Inhale'!$I97)/('GW-1 Exp'!$R$64))*('GW-1 Exp'!$S$64+(EXP(-1*'GW-1 Exp'!$R$64*'GW-1 Exp'!$T$64)/'GW-1 Exp'!$R$64)-(EXP('GW-1 Exp'!$R$64*('GW-1 Exp'!$S$64-'GW-1 Exp'!$T$64))/'GW-1 Exp'!$R$64))*('GW-1 Exp'!$U$64*'GW-1 Exp'!$V$64*'GW-1 Exp'!$W$64*'GW-1 Exp'!$X$64*'GW-1 Exp'!$AB$64/'GW-1 Exp'!$Y$64))*3)+(((('GW-1 Inhale'!$I97)/('GW-1 Exp'!$R$65))*('GW-1 Exp'!$S$65+(EXP(-1*'GW-1 Exp'!$R$65*'GW-1 Exp'!$T$65)/'GW-1 Exp'!$R$65)-(EXP('GW-1 Exp'!$R$65*('GW-1 Exp'!$S$65-'GW-1 Exp'!$T$65))/'GW-1 Exp'!$R$65))*('GW-1 Exp'!$U$65*'GW-1 Exp'!$V$65*'GW-1 Exp'!$W$65*'GW-1 Exp'!$X$65*'GW-1 Exp'!$AB$65/'GW-1 Exp'!$Y$65))*3)+(((('GW-1 Inhale'!$I97)/('GW-1 Exp'!$R$66))*('GW-1 Exp'!$S$66+(EXP(-1*'GW-1 Exp'!$R$66*'GW-1 Exp'!$T$66)/'GW-1 Exp'!$R$66)-(EXP('GW-1 Exp'!$R$66*('GW-1 Exp'!$S$66-'GW-1 Exp'!$T$66))/'GW-1 Exp'!$R$66))*('GW-1 Exp'!$U$66*'GW-1 Exp'!$V$66*'GW-1 Exp'!$W$66*'GW-1 Exp'!$X$66*'GW-1 Exp'!$AB$66/'GW-1 Exp'!$Y$66))*1)),0)</f>
        <v>0</v>
      </c>
      <c r="M97" s="518">
        <f>IF(OR((VLOOKUP(A97,[1]!TOX,8,FALSE))=0,J97=0),0,'[1]Target Risk'!$D$8*(VLOOKUP(A97,[1]!TOX,8,FALSE))*'GW-1 Exp'!$Z$58/(VLOOKUP(A97,DWInhale,10,FALSE)))</f>
        <v>0</v>
      </c>
      <c r="N97" s="519">
        <f>IF(OR(K97=0,(VLOOKUP(A97,[1]!TOX,15,FALSE))=0),0,IF(VLOOKUP(A97,[1]!TOX,36,FALSE)="M",'[1]Target Risk'!$D$12/((VLOOKUP(A97,[1]!TOX,15,FALSE))*(VLOOKUP(A97,DWInhale,12,FALSE))), '[1]Target Risk'!$D$12/((VLOOKUP(A97,[1]!TOX,15,FALSE))*(VLOOKUP(A97,DWInhale,11,FALSE)))))</f>
        <v>0</v>
      </c>
      <c r="O97" s="520">
        <f>IF(OR(VLOOKUP(A97,[1]!TOX,15,FALSE)=0, NOT(VLOOKUP(A97,[1]!TOX,36,FALSE)="M")),0,'[1]Target Risk'!$D$12/(VLOOKUP(A97,[1]!TOX,15,FALSE)*VLOOKUP(A97,DWInhale,12,FALSE)))</f>
        <v>0</v>
      </c>
    </row>
    <row r="98" spans="1:15" x14ac:dyDescent="0.25">
      <c r="A98" s="510" t="s">
        <v>615</v>
      </c>
      <c r="B98" s="511">
        <f>(VLOOKUP(A98,[1]!TOX,54,FALSE))</f>
        <v>0</v>
      </c>
      <c r="C98" s="512">
        <f>(VLOOKUP(A98,[1]!TOX,57,FALSE))</f>
        <v>0</v>
      </c>
      <c r="D98" s="513">
        <f>IF(C98=0,0,'GW-1 Exp'!$F$58*(18/C98)^0.5)</f>
        <v>0</v>
      </c>
      <c r="E98" s="514">
        <f>IF(C98=0,0,'GW-1 Exp'!$G$58*(44/C98)^0.5)</f>
        <v>0</v>
      </c>
      <c r="F98" s="514">
        <f>IF(B98*D98=0,0,((1/E98)+(('GW-1 Exp'!$E$58*'GW-1 Exp'!$M$58)/(B98*D98)))^-1)</f>
        <v>0</v>
      </c>
      <c r="G98" s="514">
        <f>F98*(('GW-1 Exp'!$H$58*'GW-1 Exp'!$J$58)/('GW-1 Exp'!$N$58*'GW-1 Exp'!$I$58))^-0.5</f>
        <v>0</v>
      </c>
      <c r="H98" s="514">
        <f>(1-EXP((-1*G98*'GW-1 Exp'!$D$58)/(60*'GW-1 Exp'!$C$58)))</f>
        <v>0</v>
      </c>
      <c r="I98" s="515">
        <f>H98*'GW-1 Exp'!$P$58/'GW-1 Exp'!$Q$58</f>
        <v>0</v>
      </c>
      <c r="J98" s="516">
        <f>(('GW-1 Inhale'!$I98)/('GW-1 Exp'!$R$58))*('GW-1 Exp'!$S$48+(EXP(-1*'GW-1 Exp'!$R$58*'GW-1 Exp'!$T$48)/'GW-1 Exp'!$R$58)-(EXP('GW-1 Exp'!$R$58*('GW-1 Exp'!$S$48-'GW-1 Exp'!$T$48))/'GW-1 Exp'!$R$58))*('GW-1 Exp'!$U$48*'GW-1 Exp'!$V$48*'GW-1 Exp'!$W$48*'GW-1 Exp'!$X$48*'GW-1 Exp'!$AB$58/'GW-1 Exp'!$Y$48)</f>
        <v>0</v>
      </c>
      <c r="K98" s="517">
        <f>(('GW-1 Inhale'!$I98)/('GW-1 Exp'!$R$58))*('GW-1 Exp'!$S$56+(EXP(-1*'GW-1 Exp'!$R$58*'GW-1 Exp'!$T$56)/'GW-1 Exp'!$R$58)-(EXP('GW-1 Exp'!$R$58*('GW-1 Exp'!$S$56-'GW-1 Exp'!$T$56))/'GW-1 Exp'!$R$58))*('GW-1 Exp'!$U$56*'GW-1 Exp'!$V$56*'GW-1 Exp'!$W$56*'GW-1 Exp'!$X$56*'GW-1 Exp'!$AB$58/'GW-1 Exp'!$Y$56)</f>
        <v>0</v>
      </c>
      <c r="L98" s="517">
        <f xml:space="preserve"> IF(VLOOKUP(A98,[1]!TOX,36,FALSE)="M",((((('GW-1 Inhale'!$I98)/('GW-1 Exp'!$R$63))*('GW-1 Exp'!$S$63+(EXP(-1*'GW-1 Exp'!$R$63*'GW-1 Exp'!$T$63)/'GW-1 Exp'!$R$63)-(EXP('GW-1 Exp'!$R$63*('GW-1 Exp'!$S$63-'GW-1 Exp'!$T$63))/'GW-1 Exp'!$R$63))*('GW-1 Exp'!$U$63*'GW-1 Exp'!$V$63*'GW-1 Exp'!$W$63*'GW-1 Exp'!$X$63*'GW-1 Exp'!$AB$63/'GW-1 Exp'!$Y$63)*10))+(((('GW-1 Inhale'!$I98)/('GW-1 Exp'!$R$64))*('GW-1 Exp'!$S$64+(EXP(-1*'GW-1 Exp'!$R$64*'GW-1 Exp'!$T$64)/'GW-1 Exp'!$R$64)-(EXP('GW-1 Exp'!$R$64*('GW-1 Exp'!$S$64-'GW-1 Exp'!$T$64))/'GW-1 Exp'!$R$64))*('GW-1 Exp'!$U$64*'GW-1 Exp'!$V$64*'GW-1 Exp'!$W$64*'GW-1 Exp'!$X$64*'GW-1 Exp'!$AB$64/'GW-1 Exp'!$Y$64))*3)+(((('GW-1 Inhale'!$I98)/('GW-1 Exp'!$R$65))*('GW-1 Exp'!$S$65+(EXP(-1*'GW-1 Exp'!$R$65*'GW-1 Exp'!$T$65)/'GW-1 Exp'!$R$65)-(EXP('GW-1 Exp'!$R$65*('GW-1 Exp'!$S$65-'GW-1 Exp'!$T$65))/'GW-1 Exp'!$R$65))*('GW-1 Exp'!$U$65*'GW-1 Exp'!$V$65*'GW-1 Exp'!$W$65*'GW-1 Exp'!$X$65*'GW-1 Exp'!$AB$65/'GW-1 Exp'!$Y$65))*3)+(((('GW-1 Inhale'!$I98)/('GW-1 Exp'!$R$66))*('GW-1 Exp'!$S$66+(EXP(-1*'GW-1 Exp'!$R$66*'GW-1 Exp'!$T$66)/'GW-1 Exp'!$R$66)-(EXP('GW-1 Exp'!$R$66*('GW-1 Exp'!$S$66-'GW-1 Exp'!$T$66))/'GW-1 Exp'!$R$66))*('GW-1 Exp'!$U$66*'GW-1 Exp'!$V$66*'GW-1 Exp'!$W$66*'GW-1 Exp'!$X$66*'GW-1 Exp'!$AB$66/'GW-1 Exp'!$Y$66))*1)),0)</f>
        <v>0</v>
      </c>
      <c r="M98" s="518">
        <f>IF(OR((VLOOKUP(A98,[1]!TOX,8,FALSE))=0,J98=0),0,'[1]Target Risk'!$D$8*(VLOOKUP(A98,[1]!TOX,8,FALSE))*'GW-1 Exp'!$Z$58/(VLOOKUP(A98,DWInhale,10,FALSE)))</f>
        <v>0</v>
      </c>
      <c r="N98" s="519">
        <f>IF(OR(K98=0,(VLOOKUP(A98,[1]!TOX,15,FALSE))=0),0,IF(VLOOKUP(A98,[1]!TOX,36,FALSE)="M",'[1]Target Risk'!$D$12/((VLOOKUP(A98,[1]!TOX,15,FALSE))*(VLOOKUP(A98,DWInhale,12,FALSE))), '[1]Target Risk'!$D$12/((VLOOKUP(A98,[1]!TOX,15,FALSE))*(VLOOKUP(A98,DWInhale,11,FALSE)))))</f>
        <v>0</v>
      </c>
      <c r="O98" s="520">
        <f>IF(OR(VLOOKUP(A98,[1]!TOX,15,FALSE)=0, NOT(VLOOKUP(A98,[1]!TOX,36,FALSE)="M")),0,'[1]Target Risk'!$D$12/(VLOOKUP(A98,[1]!TOX,15,FALSE)*VLOOKUP(A98,DWInhale,12,FALSE)))</f>
        <v>0</v>
      </c>
    </row>
    <row r="99" spans="1:15" x14ac:dyDescent="0.25">
      <c r="A99" s="510" t="s">
        <v>103</v>
      </c>
      <c r="B99" s="511">
        <f>(VLOOKUP(A99,[1]!TOX,54,FALSE))</f>
        <v>0</v>
      </c>
      <c r="C99" s="512">
        <f>(VLOOKUP(A99,[1]!TOX,57,FALSE))</f>
        <v>0</v>
      </c>
      <c r="D99" s="513">
        <f>IF(C99=0,0,'GW-1 Exp'!$F$58*(18/C99)^0.5)</f>
        <v>0</v>
      </c>
      <c r="E99" s="514">
        <f>IF(C99=0,0,'GW-1 Exp'!$G$58*(44/C99)^0.5)</f>
        <v>0</v>
      </c>
      <c r="F99" s="514">
        <f>IF(B99*D99=0,0,((1/E99)+(('GW-1 Exp'!$E$58*'GW-1 Exp'!$M$58)/(B99*D99)))^-1)</f>
        <v>0</v>
      </c>
      <c r="G99" s="514">
        <f>F99*(('GW-1 Exp'!$H$58*'GW-1 Exp'!$J$58)/('GW-1 Exp'!$N$58*'GW-1 Exp'!$I$58))^-0.5</f>
        <v>0</v>
      </c>
      <c r="H99" s="514">
        <f>(1-EXP((-1*G99*'GW-1 Exp'!$D$58)/(60*'GW-1 Exp'!$C$58)))</f>
        <v>0</v>
      </c>
      <c r="I99" s="515">
        <f>H99*'GW-1 Exp'!$P$58/'GW-1 Exp'!$Q$58</f>
        <v>0</v>
      </c>
      <c r="J99" s="516">
        <f>(('GW-1 Inhale'!$I99)/('GW-1 Exp'!$R$58))*('GW-1 Exp'!$S$48+(EXP(-1*'GW-1 Exp'!$R$58*'GW-1 Exp'!$T$48)/'GW-1 Exp'!$R$58)-(EXP('GW-1 Exp'!$R$58*('GW-1 Exp'!$S$48-'GW-1 Exp'!$T$48))/'GW-1 Exp'!$R$58))*('GW-1 Exp'!$U$48*'GW-1 Exp'!$V$48*'GW-1 Exp'!$W$48*'GW-1 Exp'!$X$48*'GW-1 Exp'!$AB$58/'GW-1 Exp'!$Y$48)</f>
        <v>0</v>
      </c>
      <c r="K99" s="517">
        <f>(('GW-1 Inhale'!$I99)/('GW-1 Exp'!$R$58))*('GW-1 Exp'!$S$56+(EXP(-1*'GW-1 Exp'!$R$58*'GW-1 Exp'!$T$56)/'GW-1 Exp'!$R$58)-(EXP('GW-1 Exp'!$R$58*('GW-1 Exp'!$S$56-'GW-1 Exp'!$T$56))/'GW-1 Exp'!$R$58))*('GW-1 Exp'!$U$56*'GW-1 Exp'!$V$56*'GW-1 Exp'!$W$56*'GW-1 Exp'!$X$56*'GW-1 Exp'!$AB$58/'GW-1 Exp'!$Y$56)</f>
        <v>0</v>
      </c>
      <c r="L99" s="517">
        <f xml:space="preserve"> IF(VLOOKUP(A99,[1]!TOX,36,FALSE)="M",((((('GW-1 Inhale'!$I99)/('GW-1 Exp'!$R$63))*('GW-1 Exp'!$S$63+(EXP(-1*'GW-1 Exp'!$R$63*'GW-1 Exp'!$T$63)/'GW-1 Exp'!$R$63)-(EXP('GW-1 Exp'!$R$63*('GW-1 Exp'!$S$63-'GW-1 Exp'!$T$63))/'GW-1 Exp'!$R$63))*('GW-1 Exp'!$U$63*'GW-1 Exp'!$V$63*'GW-1 Exp'!$W$63*'GW-1 Exp'!$X$63*'GW-1 Exp'!$AB$63/'GW-1 Exp'!$Y$63)*10))+(((('GW-1 Inhale'!$I99)/('GW-1 Exp'!$R$64))*('GW-1 Exp'!$S$64+(EXP(-1*'GW-1 Exp'!$R$64*'GW-1 Exp'!$T$64)/'GW-1 Exp'!$R$64)-(EXP('GW-1 Exp'!$R$64*('GW-1 Exp'!$S$64-'GW-1 Exp'!$T$64))/'GW-1 Exp'!$R$64))*('GW-1 Exp'!$U$64*'GW-1 Exp'!$V$64*'GW-1 Exp'!$W$64*'GW-1 Exp'!$X$64*'GW-1 Exp'!$AB$64/'GW-1 Exp'!$Y$64))*3)+(((('GW-1 Inhale'!$I99)/('GW-1 Exp'!$R$65))*('GW-1 Exp'!$S$65+(EXP(-1*'GW-1 Exp'!$R$65*'GW-1 Exp'!$T$65)/'GW-1 Exp'!$R$65)-(EXP('GW-1 Exp'!$R$65*('GW-1 Exp'!$S$65-'GW-1 Exp'!$T$65))/'GW-1 Exp'!$R$65))*('GW-1 Exp'!$U$65*'GW-1 Exp'!$V$65*'GW-1 Exp'!$W$65*'GW-1 Exp'!$X$65*'GW-1 Exp'!$AB$65/'GW-1 Exp'!$Y$65))*3)+(((('GW-1 Inhale'!$I99)/('GW-1 Exp'!$R$66))*('GW-1 Exp'!$S$66+(EXP(-1*'GW-1 Exp'!$R$66*'GW-1 Exp'!$T$66)/'GW-1 Exp'!$R$66)-(EXP('GW-1 Exp'!$R$66*('GW-1 Exp'!$S$66-'GW-1 Exp'!$T$66))/'GW-1 Exp'!$R$66))*('GW-1 Exp'!$U$66*'GW-1 Exp'!$V$66*'GW-1 Exp'!$W$66*'GW-1 Exp'!$X$66*'GW-1 Exp'!$AB$66/'GW-1 Exp'!$Y$66))*1)),0)</f>
        <v>0</v>
      </c>
      <c r="M99" s="518">
        <f>IF(OR((VLOOKUP(A99,[1]!TOX,8,FALSE))=0,J99=0),0,'[1]Target Risk'!$D$8*(VLOOKUP(A99,[1]!TOX,8,FALSE))*'GW-1 Exp'!$Z$58/(VLOOKUP(A99,DWInhale,10,FALSE)))</f>
        <v>0</v>
      </c>
      <c r="N99" s="519">
        <f>IF(OR(K99=0,(VLOOKUP(A99,[1]!TOX,15,FALSE))=0),0,IF(VLOOKUP(A99,[1]!TOX,36,FALSE)="M",'[1]Target Risk'!$D$12/((VLOOKUP(A99,[1]!TOX,15,FALSE))*(VLOOKUP(A99,DWInhale,12,FALSE))), '[1]Target Risk'!$D$12/((VLOOKUP(A99,[1]!TOX,15,FALSE))*(VLOOKUP(A99,DWInhale,11,FALSE)))))</f>
        <v>0</v>
      </c>
      <c r="O99" s="520">
        <f>IF(OR(VLOOKUP(A99,[1]!TOX,15,FALSE)=0, NOT(VLOOKUP(A99,[1]!TOX,36,FALSE)="M")),0,'[1]Target Risk'!$D$12/(VLOOKUP(A99,[1]!TOX,15,FALSE)*VLOOKUP(A99,DWInhale,12,FALSE)))</f>
        <v>0</v>
      </c>
    </row>
    <row r="100" spans="1:15" ht="20" x14ac:dyDescent="0.25">
      <c r="A100" s="793" t="s">
        <v>1051</v>
      </c>
      <c r="B100" s="511">
        <f>(VLOOKUP(A100,[1]!TOX,54,FALSE))</f>
        <v>1.296</v>
      </c>
      <c r="C100" s="512">
        <f>(VLOOKUP(A100,[1]!TOX,57,FALSE))</f>
        <v>93</v>
      </c>
      <c r="D100" s="513">
        <f>IF(C100=0,0,'GW-1 Exp'!$F$58*(18/C100)^0.5)</f>
        <v>1319.8240351921795</v>
      </c>
      <c r="E100" s="514">
        <f>IF(C100=0,0,'GW-1 Exp'!$G$58*(44/C100)^0.5)</f>
        <v>13.756718788575895</v>
      </c>
      <c r="F100" s="514">
        <f>IF(B100*D100=0,0,((1/E100)+(('GW-1 Exp'!$E$58*'GW-1 Exp'!$M$58)/(B100*D100)))^-1)</f>
        <v>13.75406108679935</v>
      </c>
      <c r="G100" s="514">
        <f>F100*(('GW-1 Exp'!$H$58*'GW-1 Exp'!$J$58)/('GW-1 Exp'!$N$58*'GW-1 Exp'!$I$58))^-0.5</f>
        <v>18.57896127804732</v>
      </c>
      <c r="H100" s="514">
        <f>(1-EXP((-1*G100*'GW-1 Exp'!$D$58)/(60*'GW-1 Exp'!$C$58)))</f>
        <v>0.46167817464323768</v>
      </c>
      <c r="I100" s="515">
        <f>H100*'GW-1 Exp'!$P$58/'GW-1 Exp'!$Q$58</f>
        <v>0.76946362440539617</v>
      </c>
      <c r="J100" s="516">
        <f>(('GW-1 Inhale'!$I100)/('GW-1 Exp'!$R$58))*('GW-1 Exp'!$S$48+(EXP(-1*'GW-1 Exp'!$R$58*'GW-1 Exp'!$T$48)/'GW-1 Exp'!$R$58)-(EXP('GW-1 Exp'!$R$58*('GW-1 Exp'!$S$48-'GW-1 Exp'!$T$48))/'GW-1 Exp'!$R$58))*('GW-1 Exp'!$U$48*'GW-1 Exp'!$V$48*'GW-1 Exp'!$W$48*'GW-1 Exp'!$X$48*'GW-1 Exp'!$AB$58/'GW-1 Exp'!$Y$48)</f>
        <v>0.50374612440585864</v>
      </c>
      <c r="K100" s="517">
        <f>(('GW-1 Inhale'!$I100)/('GW-1 Exp'!$R$58))*('GW-1 Exp'!$S$56+(EXP(-1*'GW-1 Exp'!$R$58*'GW-1 Exp'!$T$56)/'GW-1 Exp'!$R$58)-(EXP('GW-1 Exp'!$R$58*('GW-1 Exp'!$S$56-'GW-1 Exp'!$T$56))/'GW-1 Exp'!$R$58))*('GW-1 Exp'!$U$56*'GW-1 Exp'!$V$56*'GW-1 Exp'!$W$56*'GW-1 Exp'!$X$56*'GW-1 Exp'!$AB$58/'GW-1 Exp'!$Y$56)</f>
        <v>0.37010788172302678</v>
      </c>
      <c r="L100" s="517">
        <f xml:space="preserve"> IF(VLOOKUP(A100,[1]!TOX,36,FALSE)="M",((((('GW-1 Inhale'!$I100)/('GW-1 Exp'!$R$63))*('GW-1 Exp'!$S$63+(EXP(-1*'GW-1 Exp'!$R$63*'GW-1 Exp'!$T$63)/'GW-1 Exp'!$R$63)-(EXP('GW-1 Exp'!$R$63*('GW-1 Exp'!$S$63-'GW-1 Exp'!$T$63))/'GW-1 Exp'!$R$63))*('GW-1 Exp'!$U$63*'GW-1 Exp'!$V$63*'GW-1 Exp'!$W$63*'GW-1 Exp'!$X$63*'GW-1 Exp'!$AB$63/'GW-1 Exp'!$Y$63)*10))+(((('GW-1 Inhale'!$I100)/('GW-1 Exp'!$R$64))*('GW-1 Exp'!$S$64+(EXP(-1*'GW-1 Exp'!$R$64*'GW-1 Exp'!$T$64)/'GW-1 Exp'!$R$64)-(EXP('GW-1 Exp'!$R$64*('GW-1 Exp'!$S$64-'GW-1 Exp'!$T$64))/'GW-1 Exp'!$R$64))*('GW-1 Exp'!$U$64*'GW-1 Exp'!$V$64*'GW-1 Exp'!$W$64*'GW-1 Exp'!$X$64*'GW-1 Exp'!$AB$64/'GW-1 Exp'!$Y$64))*3)+(((('GW-1 Inhale'!$I100)/('GW-1 Exp'!$R$65))*('GW-1 Exp'!$S$65+(EXP(-1*'GW-1 Exp'!$R$65*'GW-1 Exp'!$T$65)/'GW-1 Exp'!$R$65)-(EXP('GW-1 Exp'!$R$65*('GW-1 Exp'!$S$65-'GW-1 Exp'!$T$65))/'GW-1 Exp'!$R$65))*('GW-1 Exp'!$U$65*'GW-1 Exp'!$V$65*'GW-1 Exp'!$W$65*'GW-1 Exp'!$X$65*'GW-1 Exp'!$AB$65/'GW-1 Exp'!$Y$65))*3)+(((('GW-1 Inhale'!$I100)/('GW-1 Exp'!$R$66))*('GW-1 Exp'!$S$66+(EXP(-1*'GW-1 Exp'!$R$66*'GW-1 Exp'!$T$66)/'GW-1 Exp'!$R$66)-(EXP('GW-1 Exp'!$R$66*('GW-1 Exp'!$S$66-'GW-1 Exp'!$T$66))/'GW-1 Exp'!$R$66))*('GW-1 Exp'!$U$66*'GW-1 Exp'!$V$66*'GW-1 Exp'!$W$66*'GW-1 Exp'!$X$66*'GW-1 Exp'!$AB$66/'GW-1 Exp'!$Y$66))*1)),0)</f>
        <v>0</v>
      </c>
      <c r="M100" s="518">
        <f>IF(OR((VLOOKUP(A100,[1]!TOX,8,FALSE))=0,J100=0),0,'[1]Target Risk'!$D$8*(VLOOKUP(A100,[1]!TOX,8,FALSE))*'GW-1 Exp'!$Z$58/(VLOOKUP(A100,DWInhale,10,FALSE)))</f>
        <v>79.405077403181707</v>
      </c>
      <c r="N100" s="519">
        <f>IF(OR(K100=0,(VLOOKUP(A100,[1]!TOX,15,FALSE))=0),0,IF(VLOOKUP(A100,[1]!TOX,36,FALSE)="M",'[1]Target Risk'!$D$12/((VLOOKUP(A100,[1]!TOX,15,FALSE))*(VLOOKUP(A100,DWInhale,12,FALSE))), '[1]Target Risk'!$D$12/((VLOOKUP(A100,[1]!TOX,15,FALSE))*(VLOOKUP(A100,DWInhale,11,FALSE)))))</f>
        <v>0</v>
      </c>
      <c r="O100" s="520">
        <f>IF(OR(VLOOKUP(A100,[1]!TOX,15,FALSE)=0, NOT(VLOOKUP(A100,[1]!TOX,36,FALSE)="M")),0,'[1]Target Risk'!$D$12/(VLOOKUP(A100,[1]!TOX,15,FALSE)*VLOOKUP(A100,DWInhale,12,FALSE)))</f>
        <v>0</v>
      </c>
    </row>
    <row r="101" spans="1:15" ht="20" x14ac:dyDescent="0.25">
      <c r="A101" s="794" t="s">
        <v>1052</v>
      </c>
      <c r="B101" s="511">
        <f>(VLOOKUP(A101,[1]!TOX,54,FALSE))</f>
        <v>1.56</v>
      </c>
      <c r="C101" s="512">
        <f>(VLOOKUP(A101,[1]!TOX,57,FALSE))</f>
        <v>149</v>
      </c>
      <c r="D101" s="513">
        <f>IF(C101=0,0,'GW-1 Exp'!$F$58*(18/C101)^0.5)</f>
        <v>1042.7120034542861</v>
      </c>
      <c r="E101" s="514">
        <f>IF(C101=0,0,'GW-1 Exp'!$G$58*(44/C101)^0.5)</f>
        <v>10.868339586575658</v>
      </c>
      <c r="F101" s="514">
        <f>IF(B101*D101=0,0,((1/E101)+(('GW-1 Exp'!$E$58*'GW-1 Exp'!$M$58)/(B101*D101)))^-1)</f>
        <v>10.866595174079471</v>
      </c>
      <c r="G101" s="514">
        <f>F101*(('GW-1 Exp'!$H$58*'GW-1 Exp'!$J$58)/('GW-1 Exp'!$N$58*'GW-1 Exp'!$I$58))^-0.5</f>
        <v>14.678577453549709</v>
      </c>
      <c r="H101" s="514">
        <f>(1-EXP((-1*G101*'GW-1 Exp'!$D$58)/(60*'GW-1 Exp'!$C$58)))</f>
        <v>0.38693598233782223</v>
      </c>
      <c r="I101" s="515">
        <f>H101*'GW-1 Exp'!$P$58/'GW-1 Exp'!$Q$58</f>
        <v>0.64489330389637034</v>
      </c>
      <c r="J101" s="516">
        <f>(('GW-1 Inhale'!$I101)/('GW-1 Exp'!$R$58))*('GW-1 Exp'!$S$48+(EXP(-1*'GW-1 Exp'!$R$58*'GW-1 Exp'!$T$48)/'GW-1 Exp'!$R$58)-(EXP('GW-1 Exp'!$R$58*('GW-1 Exp'!$S$48-'GW-1 Exp'!$T$48))/'GW-1 Exp'!$R$58))*('GW-1 Exp'!$U$48*'GW-1 Exp'!$V$48*'GW-1 Exp'!$W$48*'GW-1 Exp'!$X$48*'GW-1 Exp'!$AB$58/'GW-1 Exp'!$Y$48)</f>
        <v>0.42219345033252748</v>
      </c>
      <c r="K101" s="517">
        <f>(('GW-1 Inhale'!$I101)/('GW-1 Exp'!$R$58))*('GW-1 Exp'!$S$56+(EXP(-1*'GW-1 Exp'!$R$58*'GW-1 Exp'!$T$56)/'GW-1 Exp'!$R$58)-(EXP('GW-1 Exp'!$R$58*('GW-1 Exp'!$S$56-'GW-1 Exp'!$T$56))/'GW-1 Exp'!$R$58))*('GW-1 Exp'!$U$56*'GW-1 Exp'!$V$56*'GW-1 Exp'!$W$56*'GW-1 Exp'!$X$56*'GW-1 Exp'!$AB$58/'GW-1 Exp'!$Y$56)</f>
        <v>0.31019022481652736</v>
      </c>
      <c r="L101" s="517">
        <f xml:space="preserve"> IF(VLOOKUP(A101,[1]!TOX,36,FALSE)="M",((((('GW-1 Inhale'!$I101)/('GW-1 Exp'!$R$63))*('GW-1 Exp'!$S$63+(EXP(-1*'GW-1 Exp'!$R$63*'GW-1 Exp'!$T$63)/'GW-1 Exp'!$R$63)-(EXP('GW-1 Exp'!$R$63*('GW-1 Exp'!$S$63-'GW-1 Exp'!$T$63))/'GW-1 Exp'!$R$63))*('GW-1 Exp'!$U$63*'GW-1 Exp'!$V$63*'GW-1 Exp'!$W$63*'GW-1 Exp'!$X$63*'GW-1 Exp'!$AB$63/'GW-1 Exp'!$Y$63)*10))+(((('GW-1 Inhale'!$I101)/('GW-1 Exp'!$R$64))*('GW-1 Exp'!$S$64+(EXP(-1*'GW-1 Exp'!$R$64*'GW-1 Exp'!$T$64)/'GW-1 Exp'!$R$64)-(EXP('GW-1 Exp'!$R$64*('GW-1 Exp'!$S$64-'GW-1 Exp'!$T$64))/'GW-1 Exp'!$R$64))*('GW-1 Exp'!$U$64*'GW-1 Exp'!$V$64*'GW-1 Exp'!$W$64*'GW-1 Exp'!$X$64*'GW-1 Exp'!$AB$64/'GW-1 Exp'!$Y$64))*3)+(((('GW-1 Inhale'!$I101)/('GW-1 Exp'!$R$65))*('GW-1 Exp'!$S$65+(EXP(-1*'GW-1 Exp'!$R$65*'GW-1 Exp'!$T$65)/'GW-1 Exp'!$R$65)-(EXP('GW-1 Exp'!$R$65*('GW-1 Exp'!$S$65-'GW-1 Exp'!$T$65))/'GW-1 Exp'!$R$65))*('GW-1 Exp'!$U$65*'GW-1 Exp'!$V$65*'GW-1 Exp'!$W$65*'GW-1 Exp'!$X$65*'GW-1 Exp'!$AB$65/'GW-1 Exp'!$Y$65))*3)+(((('GW-1 Inhale'!$I101)/('GW-1 Exp'!$R$66))*('GW-1 Exp'!$S$66+(EXP(-1*'GW-1 Exp'!$R$66*'GW-1 Exp'!$T$66)/'GW-1 Exp'!$R$66)-(EXP('GW-1 Exp'!$R$66*('GW-1 Exp'!$S$66-'GW-1 Exp'!$T$66))/'GW-1 Exp'!$R$66))*('GW-1 Exp'!$U$66*'GW-1 Exp'!$V$66*'GW-1 Exp'!$W$66*'GW-1 Exp'!$X$66*'GW-1 Exp'!$AB$66/'GW-1 Exp'!$Y$66))*1)),0)</f>
        <v>0</v>
      </c>
      <c r="M101" s="518">
        <f>IF(OR((VLOOKUP(A101,[1]!TOX,8,FALSE))=0,J101=0),0,'[1]Target Risk'!$D$8*(VLOOKUP(A101,[1]!TOX,8,FALSE))*'GW-1 Exp'!$Z$58/(VLOOKUP(A101,DWInhale,10,FALSE)))</f>
        <v>94.743298287776042</v>
      </c>
      <c r="N101" s="519">
        <f>IF(OR(K101=0,(VLOOKUP(A101,[1]!TOX,15,FALSE))=0),0,IF(VLOOKUP(A101,[1]!TOX,36,FALSE)="M",'[1]Target Risk'!$D$12/((VLOOKUP(A101,[1]!TOX,15,FALSE))*(VLOOKUP(A101,DWInhale,12,FALSE))), '[1]Target Risk'!$D$12/((VLOOKUP(A101,[1]!TOX,15,FALSE))*(VLOOKUP(A101,DWInhale,11,FALSE)))))</f>
        <v>0</v>
      </c>
      <c r="O101" s="520">
        <f>IF(OR(VLOOKUP(A101,[1]!TOX,15,FALSE)=0, NOT(VLOOKUP(A101,[1]!TOX,36,FALSE)="M")),0,'[1]Target Risk'!$D$12/(VLOOKUP(A101,[1]!TOX,15,FALSE)*VLOOKUP(A101,DWInhale,12,FALSE)))</f>
        <v>0</v>
      </c>
    </row>
    <row r="102" spans="1:15" ht="20" x14ac:dyDescent="0.25">
      <c r="A102" s="510" t="s">
        <v>1053</v>
      </c>
      <c r="B102" s="511">
        <f>(VLOOKUP(A102,[1]!TOX,54,FALSE))</f>
        <v>1.6560000000000001</v>
      </c>
      <c r="C102" s="512">
        <f>(VLOOKUP(A102,[1]!TOX,57,FALSE))</f>
        <v>170</v>
      </c>
      <c r="D102" s="513">
        <f>IF(C102=0,0,'GW-1 Exp'!$F$58*(18/C102)^0.5)</f>
        <v>976.18706018395278</v>
      </c>
      <c r="E102" s="514">
        <f>IF(C102=0,0,'GW-1 Exp'!$G$58*(44/C102)^0.5)</f>
        <v>10.174940381383365</v>
      </c>
      <c r="F102" s="514">
        <f>IF(B102*D102=0,0,((1/E102)+(('GW-1 Exp'!$E$58*'GW-1 Exp'!$M$58)/(B102*D102)))^-1)</f>
        <v>10.173401921523606</v>
      </c>
      <c r="G102" s="514">
        <f>F102*(('GW-1 Exp'!$H$58*'GW-1 Exp'!$J$58)/('GW-1 Exp'!$N$58*'GW-1 Exp'!$I$58))^-0.5</f>
        <v>13.742213239652207</v>
      </c>
      <c r="H102" s="514">
        <f>(1-EXP((-1*G102*'GW-1 Exp'!$D$58)/(60*'GW-1 Exp'!$C$58)))</f>
        <v>0.36749918804317083</v>
      </c>
      <c r="I102" s="515">
        <f>H102*'GW-1 Exp'!$P$58/'GW-1 Exp'!$Q$58</f>
        <v>0.61249864673861809</v>
      </c>
      <c r="J102" s="516">
        <f>(('GW-1 Inhale'!$I102)/('GW-1 Exp'!$R$58))*('GW-1 Exp'!$S$48+(EXP(-1*'GW-1 Exp'!$R$58*'GW-1 Exp'!$T$48)/'GW-1 Exp'!$R$58)-(EXP('GW-1 Exp'!$R$58*('GW-1 Exp'!$S$48-'GW-1 Exp'!$T$48))/'GW-1 Exp'!$R$58))*('GW-1 Exp'!$U$48*'GW-1 Exp'!$V$48*'GW-1 Exp'!$W$48*'GW-1 Exp'!$X$48*'GW-1 Exp'!$AB$58/'GW-1 Exp'!$Y$48)</f>
        <v>0.40098558230980647</v>
      </c>
      <c r="K102" s="517">
        <f>(('GW-1 Inhale'!$I102)/('GW-1 Exp'!$R$58))*('GW-1 Exp'!$S$56+(EXP(-1*'GW-1 Exp'!$R$58*'GW-1 Exp'!$T$56)/'GW-1 Exp'!$R$58)-(EXP('GW-1 Exp'!$R$58*('GW-1 Exp'!$S$56-'GW-1 Exp'!$T$56))/'GW-1 Exp'!$R$58))*('GW-1 Exp'!$U$56*'GW-1 Exp'!$V$56*'GW-1 Exp'!$W$56*'GW-1 Exp'!$X$56*'GW-1 Exp'!$AB$58/'GW-1 Exp'!$Y$56)</f>
        <v>0.29460856824495868</v>
      </c>
      <c r="L102" s="517">
        <f xml:space="preserve"> IF(VLOOKUP(A102,[1]!TOX,36,FALSE)="M",((((('GW-1 Inhale'!$I102)/('GW-1 Exp'!$R$63))*('GW-1 Exp'!$S$63+(EXP(-1*'GW-1 Exp'!$R$63*'GW-1 Exp'!$T$63)/'GW-1 Exp'!$R$63)-(EXP('GW-1 Exp'!$R$63*('GW-1 Exp'!$S$63-'GW-1 Exp'!$T$63))/'GW-1 Exp'!$R$63))*('GW-1 Exp'!$U$63*'GW-1 Exp'!$V$63*'GW-1 Exp'!$W$63*'GW-1 Exp'!$X$63*'GW-1 Exp'!$AB$63/'GW-1 Exp'!$Y$63)*10))+(((('GW-1 Inhale'!$I102)/('GW-1 Exp'!$R$64))*('GW-1 Exp'!$S$64+(EXP(-1*'GW-1 Exp'!$R$64*'GW-1 Exp'!$T$64)/'GW-1 Exp'!$R$64)-(EXP('GW-1 Exp'!$R$64*('GW-1 Exp'!$S$64-'GW-1 Exp'!$T$64))/'GW-1 Exp'!$R$64))*('GW-1 Exp'!$U$64*'GW-1 Exp'!$V$64*'GW-1 Exp'!$W$64*'GW-1 Exp'!$X$64*'GW-1 Exp'!$AB$64/'GW-1 Exp'!$Y$64))*3)+(((('GW-1 Inhale'!$I102)/('GW-1 Exp'!$R$65))*('GW-1 Exp'!$S$65+(EXP(-1*'GW-1 Exp'!$R$65*'GW-1 Exp'!$T$65)/'GW-1 Exp'!$R$65)-(EXP('GW-1 Exp'!$R$65*('GW-1 Exp'!$S$65-'GW-1 Exp'!$T$65))/'GW-1 Exp'!$R$65))*('GW-1 Exp'!$U$65*'GW-1 Exp'!$V$65*'GW-1 Exp'!$W$65*'GW-1 Exp'!$X$65*'GW-1 Exp'!$AB$65/'GW-1 Exp'!$Y$65))*3)+(((('GW-1 Inhale'!$I102)/('GW-1 Exp'!$R$66))*('GW-1 Exp'!$S$66+(EXP(-1*'GW-1 Exp'!$R$66*'GW-1 Exp'!$T$66)/'GW-1 Exp'!$R$66)-(EXP('GW-1 Exp'!$R$66*('GW-1 Exp'!$S$66-'GW-1 Exp'!$T$66))/'GW-1 Exp'!$R$66))*('GW-1 Exp'!$U$66*'GW-1 Exp'!$V$66*'GW-1 Exp'!$W$66*'GW-1 Exp'!$X$66*'GW-1 Exp'!$AB$66/'GW-1 Exp'!$Y$66))*1)),0)</f>
        <v>0</v>
      </c>
      <c r="M102" s="518">
        <f>IF(OR((VLOOKUP(A102,[1]!TOX,8,FALSE))=0,J102=0),0,'[1]Target Risk'!$D$8*(VLOOKUP(A102,[1]!TOX,8,FALSE))*'GW-1 Exp'!$Z$58/(VLOOKUP(A102,DWInhale,10,FALSE)))</f>
        <v>99.754210038144237</v>
      </c>
      <c r="N102" s="519">
        <f>IF(OR(K102=0,(VLOOKUP(A102,[1]!TOX,15,FALSE))=0),0,IF(VLOOKUP(A102,[1]!TOX,36,FALSE)="M",'[1]Target Risk'!$D$12/((VLOOKUP(A102,[1]!TOX,15,FALSE))*(VLOOKUP(A102,DWInhale,12,FALSE))), '[1]Target Risk'!$D$12/((VLOOKUP(A102,[1]!TOX,15,FALSE))*(VLOOKUP(A102,DWInhale,11,FALSE)))))</f>
        <v>0</v>
      </c>
      <c r="O102" s="520">
        <f>IF(OR(VLOOKUP(A102,[1]!TOX,15,FALSE)=0, NOT(VLOOKUP(A102,[1]!TOX,36,FALSE)="M")),0,'[1]Target Risk'!$D$12/(VLOOKUP(A102,[1]!TOX,15,FALSE)*VLOOKUP(A102,DWInhale,12,FALSE)))</f>
        <v>0</v>
      </c>
    </row>
    <row r="103" spans="1:15" ht="20" x14ac:dyDescent="0.25">
      <c r="A103" s="510" t="s">
        <v>1054</v>
      </c>
      <c r="B103" s="511">
        <f>(VLOOKUP(A103,[1]!TOX,54,FALSE))</f>
        <v>0</v>
      </c>
      <c r="C103" s="512">
        <f>(VLOOKUP(A103,[1]!TOX,57,FALSE))</f>
        <v>0</v>
      </c>
      <c r="D103" s="513">
        <f>IF(C103=0,0,'GW-1 Exp'!$F$58*(18/C103)^0.5)</f>
        <v>0</v>
      </c>
      <c r="E103" s="514">
        <f>IF(C103=0,0,'GW-1 Exp'!$G$58*(44/C103)^0.5)</f>
        <v>0</v>
      </c>
      <c r="F103" s="514">
        <f>IF(B103*D103=0,0,((1/E103)+(('GW-1 Exp'!$E$58*'GW-1 Exp'!$M$58)/(B103*D103)))^-1)</f>
        <v>0</v>
      </c>
      <c r="G103" s="514">
        <f>F103*(('GW-1 Exp'!$H$58*'GW-1 Exp'!$J$58)/('GW-1 Exp'!$N$58*'GW-1 Exp'!$I$58))^-0.5</f>
        <v>0</v>
      </c>
      <c r="H103" s="514">
        <f>(1-EXP((-1*G103*'GW-1 Exp'!$D$58)/(60*'GW-1 Exp'!$C$58)))</f>
        <v>0</v>
      </c>
      <c r="I103" s="515">
        <f>H103*'GW-1 Exp'!$P$58/'GW-1 Exp'!$Q$58</f>
        <v>0</v>
      </c>
      <c r="J103" s="516">
        <f>(('GW-1 Inhale'!$I103)/('GW-1 Exp'!$R$58))*('GW-1 Exp'!$S$48+(EXP(-1*'GW-1 Exp'!$R$58*'GW-1 Exp'!$T$48)/'GW-1 Exp'!$R$58)-(EXP('GW-1 Exp'!$R$58*('GW-1 Exp'!$S$48-'GW-1 Exp'!$T$48))/'GW-1 Exp'!$R$58))*('GW-1 Exp'!$U$48*'GW-1 Exp'!$V$48*'GW-1 Exp'!$W$48*'GW-1 Exp'!$X$48*'GW-1 Exp'!$AB$58/'GW-1 Exp'!$Y$48)</f>
        <v>0</v>
      </c>
      <c r="K103" s="517">
        <f>(('GW-1 Inhale'!$I103)/('GW-1 Exp'!$R$58))*('GW-1 Exp'!$S$56+(EXP(-1*'GW-1 Exp'!$R$58*'GW-1 Exp'!$T$56)/'GW-1 Exp'!$R$58)-(EXP('GW-1 Exp'!$R$58*('GW-1 Exp'!$S$56-'GW-1 Exp'!$T$56))/'GW-1 Exp'!$R$58))*('GW-1 Exp'!$U$56*'GW-1 Exp'!$V$56*'GW-1 Exp'!$W$56*'GW-1 Exp'!$X$56*'GW-1 Exp'!$AB$58/'GW-1 Exp'!$Y$56)</f>
        <v>0</v>
      </c>
      <c r="L103" s="517">
        <f xml:space="preserve"> IF(VLOOKUP(A103,[1]!TOX,36,FALSE)="M",((((('GW-1 Inhale'!$I103)/('GW-1 Exp'!$R$63))*('GW-1 Exp'!$S$63+(EXP(-1*'GW-1 Exp'!$R$63*'GW-1 Exp'!$T$63)/'GW-1 Exp'!$R$63)-(EXP('GW-1 Exp'!$R$63*('GW-1 Exp'!$S$63-'GW-1 Exp'!$T$63))/'GW-1 Exp'!$R$63))*('GW-1 Exp'!$U$63*'GW-1 Exp'!$V$63*'GW-1 Exp'!$W$63*'GW-1 Exp'!$X$63*'GW-1 Exp'!$AB$63/'GW-1 Exp'!$Y$63)*10))+(((('GW-1 Inhale'!$I103)/('GW-1 Exp'!$R$64))*('GW-1 Exp'!$S$64+(EXP(-1*'GW-1 Exp'!$R$64*'GW-1 Exp'!$T$64)/'GW-1 Exp'!$R$64)-(EXP('GW-1 Exp'!$R$64*('GW-1 Exp'!$S$64-'GW-1 Exp'!$T$64))/'GW-1 Exp'!$R$64))*('GW-1 Exp'!$U$64*'GW-1 Exp'!$V$64*'GW-1 Exp'!$W$64*'GW-1 Exp'!$X$64*'GW-1 Exp'!$AB$64/'GW-1 Exp'!$Y$64))*3)+(((('GW-1 Inhale'!$I103)/('GW-1 Exp'!$R$65))*('GW-1 Exp'!$S$65+(EXP(-1*'GW-1 Exp'!$R$65*'GW-1 Exp'!$T$65)/'GW-1 Exp'!$R$65)-(EXP('GW-1 Exp'!$R$65*('GW-1 Exp'!$S$65-'GW-1 Exp'!$T$65))/'GW-1 Exp'!$R$65))*('GW-1 Exp'!$U$65*'GW-1 Exp'!$V$65*'GW-1 Exp'!$W$65*'GW-1 Exp'!$X$65*'GW-1 Exp'!$AB$65/'GW-1 Exp'!$Y$65))*3)+(((('GW-1 Inhale'!$I103)/('GW-1 Exp'!$R$66))*('GW-1 Exp'!$S$66+(EXP(-1*'GW-1 Exp'!$R$66*'GW-1 Exp'!$T$66)/'GW-1 Exp'!$R$66)-(EXP('GW-1 Exp'!$R$66*('GW-1 Exp'!$S$66-'GW-1 Exp'!$T$66))/'GW-1 Exp'!$R$66))*('GW-1 Exp'!$U$66*'GW-1 Exp'!$V$66*'GW-1 Exp'!$W$66*'GW-1 Exp'!$X$66*'GW-1 Exp'!$AB$66/'GW-1 Exp'!$Y$66))*1)),0)</f>
        <v>0</v>
      </c>
      <c r="M103" s="518">
        <f>IF(OR((VLOOKUP(A103,[1]!TOX,8,FALSE))=0,J103=0),0,'[1]Target Risk'!$D$8*(VLOOKUP(A103,[1]!TOX,8,FALSE))*'GW-1 Exp'!$Z$58/(VLOOKUP(A103,DWInhale,10,FALSE)))</f>
        <v>0</v>
      </c>
      <c r="N103" s="519">
        <f>IF(OR(K103=0,(VLOOKUP(A103,[1]!TOX,15,FALSE))=0),0,IF(VLOOKUP(A103,[1]!TOX,36,FALSE)="M",'[1]Target Risk'!$D$12/((VLOOKUP(A103,[1]!TOX,15,FALSE))*(VLOOKUP(A103,DWInhale,12,FALSE))), '[1]Target Risk'!$D$12/((VLOOKUP(A103,[1]!TOX,15,FALSE))*(VLOOKUP(A103,DWInhale,11,FALSE)))))</f>
        <v>0</v>
      </c>
      <c r="O103" s="520">
        <f>IF(OR(VLOOKUP(A103,[1]!TOX,15,FALSE)=0, NOT(VLOOKUP(A103,[1]!TOX,36,FALSE)="M")),0,'[1]Target Risk'!$D$12/(VLOOKUP(A103,[1]!TOX,15,FALSE)*VLOOKUP(A103,DWInhale,12,FALSE)))</f>
        <v>0</v>
      </c>
    </row>
    <row r="104" spans="1:15" ht="20" x14ac:dyDescent="0.25">
      <c r="A104" s="793" t="s">
        <v>1055</v>
      </c>
      <c r="B104" s="511">
        <f>(VLOOKUP(A104,[1]!TOX,54,FALSE))</f>
        <v>7.92E-3</v>
      </c>
      <c r="C104" s="512">
        <f>(VLOOKUP(A104,[1]!TOX,57,FALSE))</f>
        <v>120</v>
      </c>
      <c r="D104" s="513">
        <f>IF(C104=0,0,'GW-1 Exp'!$F$58*(18/C104)^0.5)</f>
        <v>1161.8950038622252</v>
      </c>
      <c r="E104" s="514">
        <f>IF(C104=0,0,'GW-1 Exp'!$G$58*(44/C104)^0.5)</f>
        <v>12.110601416389965</v>
      </c>
      <c r="F104" s="514">
        <f>IF(B104*D104=0,0,((1/E104)+(('GW-1 Exp'!$E$58*'GW-1 Exp'!$M$58)/(B104*D104)))^-1)</f>
        <v>11.739407130370831</v>
      </c>
      <c r="G104" s="514">
        <f>F104*(('GW-1 Exp'!$H$58*'GW-1 Exp'!$J$58)/('GW-1 Exp'!$N$58*'GW-1 Exp'!$I$58))^-0.5</f>
        <v>15.857570293309406</v>
      </c>
      <c r="H104" s="514">
        <f>(1-EXP((-1*G104*'GW-1 Exp'!$D$58)/(60*'GW-1 Exp'!$C$58)))</f>
        <v>0.41056196347347451</v>
      </c>
      <c r="I104" s="515">
        <f>H104*'GW-1 Exp'!$P$58/'GW-1 Exp'!$Q$58</f>
        <v>0.68426993912245759</v>
      </c>
      <c r="J104" s="516">
        <f>(('GW-1 Inhale'!$I104)/('GW-1 Exp'!$R$58))*('GW-1 Exp'!$S$48+(EXP(-1*'GW-1 Exp'!$R$58*'GW-1 Exp'!$T$48)/'GW-1 Exp'!$R$58)-(EXP('GW-1 Exp'!$R$58*('GW-1 Exp'!$S$48-'GW-1 Exp'!$T$48))/'GW-1 Exp'!$R$58))*('GW-1 Exp'!$U$48*'GW-1 Exp'!$V$48*'GW-1 Exp'!$W$48*'GW-1 Exp'!$X$48*'GW-1 Exp'!$AB$58/'GW-1 Exp'!$Y$48)</f>
        <v>0.44797222239938483</v>
      </c>
      <c r="K104" s="517">
        <f>(('GW-1 Inhale'!$I104)/('GW-1 Exp'!$R$58))*('GW-1 Exp'!$S$56+(EXP(-1*'GW-1 Exp'!$R$58*'GW-1 Exp'!$T$56)/'GW-1 Exp'!$R$58)-(EXP('GW-1 Exp'!$R$58*('GW-1 Exp'!$S$56-'GW-1 Exp'!$T$56))/'GW-1 Exp'!$R$58))*('GW-1 Exp'!$U$56*'GW-1 Exp'!$V$56*'GW-1 Exp'!$W$56*'GW-1 Exp'!$X$56*'GW-1 Exp'!$AB$58/'GW-1 Exp'!$Y$56)</f>
        <v>0.32913017544014417</v>
      </c>
      <c r="L104" s="517">
        <f xml:space="preserve"> IF(VLOOKUP(A104,[1]!TOX,36,FALSE)="M",((((('GW-1 Inhale'!$I104)/('GW-1 Exp'!$R$63))*('GW-1 Exp'!$S$63+(EXP(-1*'GW-1 Exp'!$R$63*'GW-1 Exp'!$T$63)/'GW-1 Exp'!$R$63)-(EXP('GW-1 Exp'!$R$63*('GW-1 Exp'!$S$63-'GW-1 Exp'!$T$63))/'GW-1 Exp'!$R$63))*('GW-1 Exp'!$U$63*'GW-1 Exp'!$V$63*'GW-1 Exp'!$W$63*'GW-1 Exp'!$X$63*'GW-1 Exp'!$AB$63/'GW-1 Exp'!$Y$63)*10))+(((('GW-1 Inhale'!$I104)/('GW-1 Exp'!$R$64))*('GW-1 Exp'!$S$64+(EXP(-1*'GW-1 Exp'!$R$64*'GW-1 Exp'!$T$64)/'GW-1 Exp'!$R$64)-(EXP('GW-1 Exp'!$R$64*('GW-1 Exp'!$S$64-'GW-1 Exp'!$T$64))/'GW-1 Exp'!$R$64))*('GW-1 Exp'!$U$64*'GW-1 Exp'!$V$64*'GW-1 Exp'!$W$64*'GW-1 Exp'!$X$64*'GW-1 Exp'!$AB$64/'GW-1 Exp'!$Y$64))*3)+(((('GW-1 Inhale'!$I104)/('GW-1 Exp'!$R$65))*('GW-1 Exp'!$S$65+(EXP(-1*'GW-1 Exp'!$R$65*'GW-1 Exp'!$T$65)/'GW-1 Exp'!$R$65)-(EXP('GW-1 Exp'!$R$65*('GW-1 Exp'!$S$65-'GW-1 Exp'!$T$65))/'GW-1 Exp'!$R$65))*('GW-1 Exp'!$U$65*'GW-1 Exp'!$V$65*'GW-1 Exp'!$W$65*'GW-1 Exp'!$X$65*'GW-1 Exp'!$AB$65/'GW-1 Exp'!$Y$65))*3)+(((('GW-1 Inhale'!$I104)/('GW-1 Exp'!$R$66))*('GW-1 Exp'!$S$66+(EXP(-1*'GW-1 Exp'!$R$66*'GW-1 Exp'!$T$66)/'GW-1 Exp'!$R$66)-(EXP('GW-1 Exp'!$R$66*('GW-1 Exp'!$S$66-'GW-1 Exp'!$T$66))/'GW-1 Exp'!$R$66))*('GW-1 Exp'!$U$66*'GW-1 Exp'!$V$66*'GW-1 Exp'!$W$66*'GW-1 Exp'!$X$66*'GW-1 Exp'!$AB$66/'GW-1 Exp'!$Y$66))*1)),0)</f>
        <v>0</v>
      </c>
      <c r="M104" s="518">
        <f>IF(OR((VLOOKUP(A104,[1]!TOX,8,FALSE))=0,J104=0),0,'[1]Target Risk'!$D$8*(VLOOKUP(A104,[1]!TOX,8,FALSE))*'GW-1 Exp'!$Z$58/(VLOOKUP(A104,DWInhale,10,FALSE)))</f>
        <v>22.322812665568822</v>
      </c>
      <c r="N104" s="519">
        <f>IF(OR(K104=0,(VLOOKUP(A104,[1]!TOX,15,FALSE))=0),0,IF(VLOOKUP(A104,[1]!TOX,36,FALSE)="M",'[1]Target Risk'!$D$12/((VLOOKUP(A104,[1]!TOX,15,FALSE))*(VLOOKUP(A104,DWInhale,12,FALSE))), '[1]Target Risk'!$D$12/((VLOOKUP(A104,[1]!TOX,15,FALSE))*(VLOOKUP(A104,DWInhale,11,FALSE)))))</f>
        <v>0</v>
      </c>
      <c r="O104" s="520">
        <f>IF(OR(VLOOKUP(A104,[1]!TOX,15,FALSE)=0, NOT(VLOOKUP(A104,[1]!TOX,36,FALSE)="M")),0,'[1]Target Risk'!$D$12/(VLOOKUP(A104,[1]!TOX,15,FALSE)*VLOOKUP(A104,DWInhale,12,FALSE)))</f>
        <v>0</v>
      </c>
    </row>
    <row r="105" spans="1:15" ht="20" x14ac:dyDescent="0.25">
      <c r="A105" s="510" t="s">
        <v>1056</v>
      </c>
      <c r="B105" s="511">
        <f>(VLOOKUP(A105,[1]!TOX,54,FALSE))</f>
        <v>7.1999999999999994E-4</v>
      </c>
      <c r="C105" s="512">
        <f>(VLOOKUP(A105,[1]!TOX,57,FALSE))</f>
        <v>150</v>
      </c>
      <c r="D105" s="513">
        <f>IF(C105=0,0,'GW-1 Exp'!$F$58*(18/C105)^0.5)</f>
        <v>1039.2304845413264</v>
      </c>
      <c r="E105" s="514">
        <f>IF(C105=0,0,'GW-1 Exp'!$G$58*(44/C105)^0.5)</f>
        <v>10.832051206181282</v>
      </c>
      <c r="F105" s="514">
        <f>IF(B105*D105=0,0,((1/E105)+(('GW-1 Exp'!$E$58*'GW-1 Exp'!$M$58)/(B105*D105)))^-1)</f>
        <v>8.036751671764744</v>
      </c>
      <c r="G105" s="514">
        <f>F105*(('GW-1 Exp'!$H$58*'GW-1 Exp'!$J$58)/('GW-1 Exp'!$N$58*'GW-1 Exp'!$I$58))^-0.5</f>
        <v>10.85602987864478</v>
      </c>
      <c r="H105" s="514">
        <f>(1-EXP((-1*G105*'GW-1 Exp'!$D$58)/(60*'GW-1 Exp'!$C$58)))</f>
        <v>0.30362548187763916</v>
      </c>
      <c r="I105" s="515">
        <f>H105*'GW-1 Exp'!$P$58/'GW-1 Exp'!$Q$58</f>
        <v>0.50604246979606526</v>
      </c>
      <c r="J105" s="516">
        <f>(('GW-1 Inhale'!$I105)/('GW-1 Exp'!$R$58))*('GW-1 Exp'!$S$48+(EXP(-1*'GW-1 Exp'!$R$58*'GW-1 Exp'!$T$48)/'GW-1 Exp'!$R$58)-(EXP('GW-1 Exp'!$R$58*('GW-1 Exp'!$S$48-'GW-1 Exp'!$T$48))/'GW-1 Exp'!$R$58))*('GW-1 Exp'!$U$48*'GW-1 Exp'!$V$48*'GW-1 Exp'!$W$48*'GW-1 Exp'!$X$48*'GW-1 Exp'!$AB$58/'GW-1 Exp'!$Y$48)</f>
        <v>0.33129172693709069</v>
      </c>
      <c r="K105" s="517">
        <f>(('GW-1 Inhale'!$I105)/('GW-1 Exp'!$R$58))*('GW-1 Exp'!$S$56+(EXP(-1*'GW-1 Exp'!$R$58*'GW-1 Exp'!$T$56)/'GW-1 Exp'!$R$58)-(EXP('GW-1 Exp'!$R$58*('GW-1 Exp'!$S$56-'GW-1 Exp'!$T$56))/'GW-1 Exp'!$R$58))*('GW-1 Exp'!$U$56*'GW-1 Exp'!$V$56*'GW-1 Exp'!$W$56*'GW-1 Exp'!$X$56*'GW-1 Exp'!$AB$58/'GW-1 Exp'!$Y$56)</f>
        <v>0.24340371736589789</v>
      </c>
      <c r="L105" s="517">
        <f xml:space="preserve"> IF(VLOOKUP(A105,[1]!TOX,36,FALSE)="M",((((('GW-1 Inhale'!$I105)/('GW-1 Exp'!$R$63))*('GW-1 Exp'!$S$63+(EXP(-1*'GW-1 Exp'!$R$63*'GW-1 Exp'!$T$63)/'GW-1 Exp'!$R$63)-(EXP('GW-1 Exp'!$R$63*('GW-1 Exp'!$S$63-'GW-1 Exp'!$T$63))/'GW-1 Exp'!$R$63))*('GW-1 Exp'!$U$63*'GW-1 Exp'!$V$63*'GW-1 Exp'!$W$63*'GW-1 Exp'!$X$63*'GW-1 Exp'!$AB$63/'GW-1 Exp'!$Y$63)*10))+(((('GW-1 Inhale'!$I105)/('GW-1 Exp'!$R$64))*('GW-1 Exp'!$S$64+(EXP(-1*'GW-1 Exp'!$R$64*'GW-1 Exp'!$T$64)/'GW-1 Exp'!$R$64)-(EXP('GW-1 Exp'!$R$64*('GW-1 Exp'!$S$64-'GW-1 Exp'!$T$64))/'GW-1 Exp'!$R$64))*('GW-1 Exp'!$U$64*'GW-1 Exp'!$V$64*'GW-1 Exp'!$W$64*'GW-1 Exp'!$X$64*'GW-1 Exp'!$AB$64/'GW-1 Exp'!$Y$64))*3)+(((('GW-1 Inhale'!$I105)/('GW-1 Exp'!$R$65))*('GW-1 Exp'!$S$65+(EXP(-1*'GW-1 Exp'!$R$65*'GW-1 Exp'!$T$65)/'GW-1 Exp'!$R$65)-(EXP('GW-1 Exp'!$R$65*('GW-1 Exp'!$S$65-'GW-1 Exp'!$T$65))/'GW-1 Exp'!$R$65))*('GW-1 Exp'!$U$65*'GW-1 Exp'!$V$65*'GW-1 Exp'!$W$65*'GW-1 Exp'!$X$65*'GW-1 Exp'!$AB$65/'GW-1 Exp'!$Y$65))*3)+(((('GW-1 Inhale'!$I105)/('GW-1 Exp'!$R$66))*('GW-1 Exp'!$S$66+(EXP(-1*'GW-1 Exp'!$R$66*'GW-1 Exp'!$T$66)/'GW-1 Exp'!$R$66)-(EXP('GW-1 Exp'!$R$66*('GW-1 Exp'!$S$66-'GW-1 Exp'!$T$66))/'GW-1 Exp'!$R$66))*('GW-1 Exp'!$U$66*'GW-1 Exp'!$V$66*'GW-1 Exp'!$W$66*'GW-1 Exp'!$X$66*'GW-1 Exp'!$AB$66/'GW-1 Exp'!$Y$66))*1)),0)</f>
        <v>0</v>
      </c>
      <c r="M105" s="518">
        <f>IF(OR((VLOOKUP(A105,[1]!TOX,8,FALSE))=0,J105=0),0,'[1]Target Risk'!$D$8*(VLOOKUP(A105,[1]!TOX,8,FALSE))*'GW-1 Exp'!$Z$58/(VLOOKUP(A105,DWInhale,10,FALSE)))</f>
        <v>30.184876913328146</v>
      </c>
      <c r="N105" s="519">
        <f>IF(OR(K105=0,(VLOOKUP(A105,[1]!TOX,15,FALSE))=0),0,IF(VLOOKUP(A105,[1]!TOX,36,FALSE)="M",'[1]Target Risk'!$D$12/((VLOOKUP(A105,[1]!TOX,15,FALSE))*(VLOOKUP(A105,DWInhale,12,FALSE))), '[1]Target Risk'!$D$12/((VLOOKUP(A105,[1]!TOX,15,FALSE))*(VLOOKUP(A105,DWInhale,11,FALSE)))))</f>
        <v>0</v>
      </c>
      <c r="O105" s="520">
        <f>IF(OR(VLOOKUP(A105,[1]!TOX,15,FALSE)=0, NOT(VLOOKUP(A105,[1]!TOX,36,FALSE)="M")),0,'[1]Target Risk'!$D$12/(VLOOKUP(A105,[1]!TOX,15,FALSE)*VLOOKUP(A105,DWInhale,12,FALSE)))</f>
        <v>0</v>
      </c>
    </row>
    <row r="106" spans="1:15" x14ac:dyDescent="0.25">
      <c r="A106" s="510" t="s">
        <v>239</v>
      </c>
      <c r="B106" s="511">
        <f>(VLOOKUP(A106,[1]!TOX,54,FALSE))</f>
        <v>4.2299999999999998E-5</v>
      </c>
      <c r="C106" s="512">
        <f>(VLOOKUP(A106,[1]!TOX,57,FALSE))</f>
        <v>178</v>
      </c>
      <c r="D106" s="513">
        <f>IF(C106=0,0,'GW-1 Exp'!$F$58*(18/C106)^0.5)</f>
        <v>953.99809200572395</v>
      </c>
      <c r="E106" s="514">
        <f>IF(C106=0,0,'GW-1 Exp'!$G$58*(44/C106)^0.5)</f>
        <v>9.9436615235225112</v>
      </c>
      <c r="F106" s="514">
        <f>IF(B106*D106=0,0,((1/E106)+(('GW-1 Exp'!$E$58*'GW-1 Exp'!$M$58)/(B106*D106)))^-1)</f>
        <v>1.4368937199989449</v>
      </c>
      <c r="G106" s="514">
        <f>F106*(('GW-1 Exp'!$H$58*'GW-1 Exp'!$J$58)/('GW-1 Exp'!$N$58*'GW-1 Exp'!$I$58))^-0.5</f>
        <v>1.9409534839242215</v>
      </c>
      <c r="H106" s="514">
        <f>(1-EXP((-1*G106*'GW-1 Exp'!$D$58)/(60*'GW-1 Exp'!$C$58)))</f>
        <v>6.2649920817546723E-2</v>
      </c>
      <c r="I106" s="515">
        <f>H106*'GW-1 Exp'!$P$58/'GW-1 Exp'!$Q$58</f>
        <v>0.10441653469591121</v>
      </c>
      <c r="J106" s="516">
        <f>(('GW-1 Inhale'!$I106)/('GW-1 Exp'!$R$58))*('GW-1 Exp'!$S$48+(EXP(-1*'GW-1 Exp'!$R$58*'GW-1 Exp'!$T$48)/'GW-1 Exp'!$R$58)-(EXP('GW-1 Exp'!$R$58*('GW-1 Exp'!$S$48-'GW-1 Exp'!$T$48))/'GW-1 Exp'!$R$58))*('GW-1 Exp'!$U$48*'GW-1 Exp'!$V$48*'GW-1 Exp'!$W$48*'GW-1 Exp'!$X$48*'GW-1 Exp'!$AB$58/'GW-1 Exp'!$Y$48)</f>
        <v>6.835855914254739E-2</v>
      </c>
      <c r="K106" s="517">
        <f>(('GW-1 Inhale'!$I106)/('GW-1 Exp'!$R$58))*('GW-1 Exp'!$S$56+(EXP(-1*'GW-1 Exp'!$R$58*'GW-1 Exp'!$T$56)/'GW-1 Exp'!$R$58)-(EXP('GW-1 Exp'!$R$58*('GW-1 Exp'!$S$56-'GW-1 Exp'!$T$56))/'GW-1 Exp'!$R$58))*('GW-1 Exp'!$U$56*'GW-1 Exp'!$V$56*'GW-1 Exp'!$W$56*'GW-1 Exp'!$X$56*'GW-1 Exp'!$AB$58/'GW-1 Exp'!$Y$56)</f>
        <v>5.0223793883727622E-2</v>
      </c>
      <c r="L106" s="517">
        <f xml:space="preserve"> IF(VLOOKUP(A106,[1]!TOX,36,FALSE)="M",((((('GW-1 Inhale'!$I106)/('GW-1 Exp'!$R$63))*('GW-1 Exp'!$S$63+(EXP(-1*'GW-1 Exp'!$R$63*'GW-1 Exp'!$T$63)/'GW-1 Exp'!$R$63)-(EXP('GW-1 Exp'!$R$63*('GW-1 Exp'!$S$63-'GW-1 Exp'!$T$63))/'GW-1 Exp'!$R$63))*('GW-1 Exp'!$U$63*'GW-1 Exp'!$V$63*'GW-1 Exp'!$W$63*'GW-1 Exp'!$X$63*'GW-1 Exp'!$AB$63/'GW-1 Exp'!$Y$63)*10))+(((('GW-1 Inhale'!$I106)/('GW-1 Exp'!$R$64))*('GW-1 Exp'!$S$64+(EXP(-1*'GW-1 Exp'!$R$64*'GW-1 Exp'!$T$64)/'GW-1 Exp'!$R$64)-(EXP('GW-1 Exp'!$R$64*('GW-1 Exp'!$S$64-'GW-1 Exp'!$T$64))/'GW-1 Exp'!$R$64))*('GW-1 Exp'!$U$64*'GW-1 Exp'!$V$64*'GW-1 Exp'!$W$64*'GW-1 Exp'!$X$64*'GW-1 Exp'!$AB$64/'GW-1 Exp'!$Y$64))*3)+(((('GW-1 Inhale'!$I106)/('GW-1 Exp'!$R$65))*('GW-1 Exp'!$S$65+(EXP(-1*'GW-1 Exp'!$R$65*'GW-1 Exp'!$T$65)/'GW-1 Exp'!$R$65)-(EXP('GW-1 Exp'!$R$65*('GW-1 Exp'!$S$65-'GW-1 Exp'!$T$65))/'GW-1 Exp'!$R$65))*('GW-1 Exp'!$U$65*'GW-1 Exp'!$V$65*'GW-1 Exp'!$W$65*'GW-1 Exp'!$X$65*'GW-1 Exp'!$AB$65/'GW-1 Exp'!$Y$65))*3)+(((('GW-1 Inhale'!$I106)/('GW-1 Exp'!$R$66))*('GW-1 Exp'!$S$66+(EXP(-1*'GW-1 Exp'!$R$66*'GW-1 Exp'!$T$66)/'GW-1 Exp'!$R$66)-(EXP('GW-1 Exp'!$R$66*('GW-1 Exp'!$S$66-'GW-1 Exp'!$T$66))/'GW-1 Exp'!$R$66))*('GW-1 Exp'!$U$66*'GW-1 Exp'!$V$66*'GW-1 Exp'!$W$66*'GW-1 Exp'!$X$66*'GW-1 Exp'!$AB$66/'GW-1 Exp'!$Y$66))*1)),0)</f>
        <v>0</v>
      </c>
      <c r="M106" s="518">
        <f>IF(OR((VLOOKUP(A106,[1]!TOX,8,FALSE))=0,J106=0),0,'[1]Target Risk'!$D$8*(VLOOKUP(A106,[1]!TOX,8,FALSE))*'GW-1 Exp'!$Z$58/(VLOOKUP(A106,DWInhale,10,FALSE)))</f>
        <v>146.28746020153974</v>
      </c>
      <c r="N106" s="519">
        <f>IF(OR(K106=0,(VLOOKUP(A106,[1]!TOX,15,FALSE))=0),0,IF(VLOOKUP(A106,[1]!TOX,36,FALSE)="M",'[1]Target Risk'!$D$12/((VLOOKUP(A106,[1]!TOX,15,FALSE))*(VLOOKUP(A106,DWInhale,12,FALSE))), '[1]Target Risk'!$D$12/((VLOOKUP(A106,[1]!TOX,15,FALSE))*(VLOOKUP(A106,DWInhale,11,FALSE)))))</f>
        <v>0</v>
      </c>
      <c r="O106" s="520">
        <f>IF(OR(VLOOKUP(A106,[1]!TOX,15,FALSE)=0, NOT(VLOOKUP(A106,[1]!TOX,36,FALSE)="M")),0,'[1]Target Risk'!$D$12/(VLOOKUP(A106,[1]!TOX,15,FALSE)*VLOOKUP(A106,DWInhale,12,FALSE)))</f>
        <v>0</v>
      </c>
    </row>
    <row r="107" spans="1:15" x14ac:dyDescent="0.25">
      <c r="A107" s="510" t="s">
        <v>240</v>
      </c>
      <c r="B107" s="511">
        <f>(VLOOKUP(A107,[1]!TOX,54,FALSE))</f>
        <v>3.3299999999999998E-7</v>
      </c>
      <c r="C107" s="512">
        <f>(VLOOKUP(A107,[1]!TOX,57,FALSE))</f>
        <v>94</v>
      </c>
      <c r="D107" s="513">
        <f>IF(C107=0,0,'GW-1 Exp'!$F$58*(18/C107)^0.5)</f>
        <v>1312.784923481051</v>
      </c>
      <c r="E107" s="514">
        <f>IF(C107=0,0,'GW-1 Exp'!$G$58*(44/C107)^0.5)</f>
        <v>13.683349098564703</v>
      </c>
      <c r="F107" s="514">
        <f>IF(B107*D107=0,0,((1/E107)+(('GW-1 Exp'!$E$58*'GW-1 Exp'!$M$58)/(B107*D107)))^-1)</f>
        <v>1.8171016796826797E-2</v>
      </c>
      <c r="G107" s="514">
        <f>F107*(('GW-1 Exp'!$H$58*'GW-1 Exp'!$J$58)/('GW-1 Exp'!$N$58*'GW-1 Exp'!$I$58))^-0.5</f>
        <v>2.454537720317437E-2</v>
      </c>
      <c r="H107" s="514">
        <f>(1-EXP((-1*G107*'GW-1 Exp'!$D$58)/(60*'GW-1 Exp'!$C$58)))</f>
        <v>8.1784462273659653E-4</v>
      </c>
      <c r="I107" s="515">
        <f>H107*'GW-1 Exp'!$P$58/'GW-1 Exp'!$Q$58</f>
        <v>1.363074371227661E-3</v>
      </c>
      <c r="J107" s="516">
        <f>(('GW-1 Inhale'!$I107)/('GW-1 Exp'!$R$58))*('GW-1 Exp'!$S$48+(EXP(-1*'GW-1 Exp'!$R$58*'GW-1 Exp'!$T$48)/'GW-1 Exp'!$R$58)-(EXP('GW-1 Exp'!$R$58*('GW-1 Exp'!$S$48-'GW-1 Exp'!$T$48))/'GW-1 Exp'!$R$58))*('GW-1 Exp'!$U$48*'GW-1 Exp'!$V$48*'GW-1 Exp'!$W$48*'GW-1 Exp'!$X$48*'GW-1 Exp'!$AB$58/'GW-1 Exp'!$Y$48)</f>
        <v>8.9236633156439499E-4</v>
      </c>
      <c r="K107" s="517">
        <f>(('GW-1 Inhale'!$I107)/('GW-1 Exp'!$R$58))*('GW-1 Exp'!$S$56+(EXP(-1*'GW-1 Exp'!$R$58*'GW-1 Exp'!$T$56)/'GW-1 Exp'!$R$58)-(EXP('GW-1 Exp'!$R$58*('GW-1 Exp'!$S$56-'GW-1 Exp'!$T$56))/'GW-1 Exp'!$R$58))*('GW-1 Exp'!$U$56*'GW-1 Exp'!$V$56*'GW-1 Exp'!$W$56*'GW-1 Exp'!$X$56*'GW-1 Exp'!$AB$58/'GW-1 Exp'!$Y$56)</f>
        <v>6.5563147128086421E-4</v>
      </c>
      <c r="L107" s="517">
        <f xml:space="preserve"> IF(VLOOKUP(A107,[1]!TOX,36,FALSE)="M",((((('GW-1 Inhale'!$I107)/('GW-1 Exp'!$R$63))*('GW-1 Exp'!$S$63+(EXP(-1*'GW-1 Exp'!$R$63*'GW-1 Exp'!$T$63)/'GW-1 Exp'!$R$63)-(EXP('GW-1 Exp'!$R$63*('GW-1 Exp'!$S$63-'GW-1 Exp'!$T$63))/'GW-1 Exp'!$R$63))*('GW-1 Exp'!$U$63*'GW-1 Exp'!$V$63*'GW-1 Exp'!$W$63*'GW-1 Exp'!$X$63*'GW-1 Exp'!$AB$63/'GW-1 Exp'!$Y$63)*10))+(((('GW-1 Inhale'!$I107)/('GW-1 Exp'!$R$64))*('GW-1 Exp'!$S$64+(EXP(-1*'GW-1 Exp'!$R$64*'GW-1 Exp'!$T$64)/'GW-1 Exp'!$R$64)-(EXP('GW-1 Exp'!$R$64*('GW-1 Exp'!$S$64-'GW-1 Exp'!$T$64))/'GW-1 Exp'!$R$64))*('GW-1 Exp'!$U$64*'GW-1 Exp'!$V$64*'GW-1 Exp'!$W$64*'GW-1 Exp'!$X$64*'GW-1 Exp'!$AB$64/'GW-1 Exp'!$Y$64))*3)+(((('GW-1 Inhale'!$I107)/('GW-1 Exp'!$R$65))*('GW-1 Exp'!$S$65+(EXP(-1*'GW-1 Exp'!$R$65*'GW-1 Exp'!$T$65)/'GW-1 Exp'!$R$65)-(EXP('GW-1 Exp'!$R$65*('GW-1 Exp'!$S$65-'GW-1 Exp'!$T$65))/'GW-1 Exp'!$R$65))*('GW-1 Exp'!$U$65*'GW-1 Exp'!$V$65*'GW-1 Exp'!$W$65*'GW-1 Exp'!$X$65*'GW-1 Exp'!$AB$65/'GW-1 Exp'!$Y$65))*3)+(((('GW-1 Inhale'!$I107)/('GW-1 Exp'!$R$66))*('GW-1 Exp'!$S$66+(EXP(-1*'GW-1 Exp'!$R$66*'GW-1 Exp'!$T$66)/'GW-1 Exp'!$R$66)-(EXP('GW-1 Exp'!$R$66*('GW-1 Exp'!$S$66-'GW-1 Exp'!$T$66))/'GW-1 Exp'!$R$66))*('GW-1 Exp'!$U$66*'GW-1 Exp'!$V$66*'GW-1 Exp'!$W$66*'GW-1 Exp'!$X$66*'GW-1 Exp'!$AB$66/'GW-1 Exp'!$Y$66))*1)),0)</f>
        <v>0</v>
      </c>
      <c r="M107" s="518">
        <f>IF(OR((VLOOKUP(A107,[1]!TOX,8,FALSE))=0,J107=0),0,'[1]Target Risk'!$D$8*(VLOOKUP(A107,[1]!TOX,8,FALSE))*'GW-1 Exp'!$Z$58/(VLOOKUP(A107,DWInhale,10,FALSE)))</f>
        <v>58272.032640271769</v>
      </c>
      <c r="N107" s="519">
        <f>IF(OR(K107=0,(VLOOKUP(A107,[1]!TOX,15,FALSE))=0),0,IF(VLOOKUP(A107,[1]!TOX,36,FALSE)="M",'[1]Target Risk'!$D$12/((VLOOKUP(A107,[1]!TOX,15,FALSE))*(VLOOKUP(A107,DWInhale,12,FALSE))), '[1]Target Risk'!$D$12/((VLOOKUP(A107,[1]!TOX,15,FALSE))*(VLOOKUP(A107,DWInhale,11,FALSE)))))</f>
        <v>0</v>
      </c>
      <c r="O107" s="520">
        <f>IF(OR(VLOOKUP(A107,[1]!TOX,15,FALSE)=0, NOT(VLOOKUP(A107,[1]!TOX,36,FALSE)="M")),0,'[1]Target Risk'!$D$12/(VLOOKUP(A107,[1]!TOX,15,FALSE)*VLOOKUP(A107,DWInhale,12,FALSE)))</f>
        <v>0</v>
      </c>
    </row>
    <row r="108" spans="1:15" x14ac:dyDescent="0.25">
      <c r="A108" s="510" t="s">
        <v>241</v>
      </c>
      <c r="B108" s="511">
        <f>(VLOOKUP(A108,[1]!TOX,54,FALSE))</f>
        <v>4.15E-4</v>
      </c>
      <c r="C108" s="512">
        <f>(VLOOKUP(A108,[1]!TOX,57,FALSE))</f>
        <v>328</v>
      </c>
      <c r="D108" s="513">
        <f>IF(C108=0,0,'GW-1 Exp'!$F$58*(18/C108)^0.5)</f>
        <v>702.78192849872732</v>
      </c>
      <c r="E108" s="514">
        <f>IF(C108=0,0,'GW-1 Exp'!$G$58*(44/C108)^0.5)</f>
        <v>7.3251987403322962</v>
      </c>
      <c r="F108" s="514">
        <f>IF(B108*D108=0,0,((1/E108)+(('GW-1 Exp'!$E$58*'GW-1 Exp'!$M$58)/(B108*D108)))^-1)</f>
        <v>4.5684345846874086</v>
      </c>
      <c r="G108" s="514">
        <f>F108*(('GW-1 Exp'!$H$58*'GW-1 Exp'!$J$58)/('GW-1 Exp'!$N$58*'GW-1 Exp'!$I$58))^-0.5</f>
        <v>6.1710333198724268</v>
      </c>
      <c r="H108" s="514">
        <f>(1-EXP((-1*G108*'GW-1 Exp'!$D$58)/(60*'GW-1 Exp'!$C$58)))</f>
        <v>0.18592364133255945</v>
      </c>
      <c r="I108" s="515">
        <f>H108*'GW-1 Exp'!$P$58/'GW-1 Exp'!$Q$58</f>
        <v>0.30987273555426575</v>
      </c>
      <c r="J108" s="516">
        <f>(('GW-1 Inhale'!$I108)/('GW-1 Exp'!$R$58))*('GW-1 Exp'!$S$48+(EXP(-1*'GW-1 Exp'!$R$58*'GW-1 Exp'!$T$48)/'GW-1 Exp'!$R$58)-(EXP('GW-1 Exp'!$R$58*('GW-1 Exp'!$S$48-'GW-1 Exp'!$T$48))/'GW-1 Exp'!$R$58))*('GW-1 Exp'!$U$48*'GW-1 Exp'!$V$48*'GW-1 Exp'!$W$48*'GW-1 Exp'!$X$48*'GW-1 Exp'!$AB$58/'GW-1 Exp'!$Y$48)</f>
        <v>0.20286493687746077</v>
      </c>
      <c r="K108" s="517">
        <f>(('GW-1 Inhale'!$I108)/('GW-1 Exp'!$R$58))*('GW-1 Exp'!$S$56+(EXP(-1*'GW-1 Exp'!$R$58*'GW-1 Exp'!$T$56)/'GW-1 Exp'!$R$58)-(EXP('GW-1 Exp'!$R$58*('GW-1 Exp'!$S$56-'GW-1 Exp'!$T$56))/'GW-1 Exp'!$R$58))*('GW-1 Exp'!$U$56*'GW-1 Exp'!$V$56*'GW-1 Exp'!$W$56*'GW-1 Exp'!$X$56*'GW-1 Exp'!$AB$58/'GW-1 Exp'!$Y$56)</f>
        <v>0.14904712597471118</v>
      </c>
      <c r="L108" s="517">
        <f xml:space="preserve"> IF(VLOOKUP(A108,[1]!TOX,36,FALSE)="M",((((('GW-1 Inhale'!$I108)/('GW-1 Exp'!$R$63))*('GW-1 Exp'!$S$63+(EXP(-1*'GW-1 Exp'!$R$63*'GW-1 Exp'!$T$63)/'GW-1 Exp'!$R$63)-(EXP('GW-1 Exp'!$R$63*('GW-1 Exp'!$S$63-'GW-1 Exp'!$T$63))/'GW-1 Exp'!$R$63))*('GW-1 Exp'!$U$63*'GW-1 Exp'!$V$63*'GW-1 Exp'!$W$63*'GW-1 Exp'!$X$63*'GW-1 Exp'!$AB$63/'GW-1 Exp'!$Y$63)*10))+(((('GW-1 Inhale'!$I108)/('GW-1 Exp'!$R$64))*('GW-1 Exp'!$S$64+(EXP(-1*'GW-1 Exp'!$R$64*'GW-1 Exp'!$T$64)/'GW-1 Exp'!$R$64)-(EXP('GW-1 Exp'!$R$64*('GW-1 Exp'!$S$64-'GW-1 Exp'!$T$64))/'GW-1 Exp'!$R$64))*('GW-1 Exp'!$U$64*'GW-1 Exp'!$V$64*'GW-1 Exp'!$W$64*'GW-1 Exp'!$X$64*'GW-1 Exp'!$AB$64/'GW-1 Exp'!$Y$64))*3)+(((('GW-1 Inhale'!$I108)/('GW-1 Exp'!$R$65))*('GW-1 Exp'!$S$65+(EXP(-1*'GW-1 Exp'!$R$65*'GW-1 Exp'!$T$65)/'GW-1 Exp'!$R$65)-(EXP('GW-1 Exp'!$R$65*('GW-1 Exp'!$S$65-'GW-1 Exp'!$T$65))/'GW-1 Exp'!$R$65))*('GW-1 Exp'!$U$65*'GW-1 Exp'!$V$65*'GW-1 Exp'!$W$65*'GW-1 Exp'!$X$65*'GW-1 Exp'!$AB$65/'GW-1 Exp'!$Y$65))*3)+(((('GW-1 Inhale'!$I108)/('GW-1 Exp'!$R$66))*('GW-1 Exp'!$S$66+(EXP(-1*'GW-1 Exp'!$R$66*'GW-1 Exp'!$T$66)/'GW-1 Exp'!$R$66)-(EXP('GW-1 Exp'!$R$66*('GW-1 Exp'!$S$66-'GW-1 Exp'!$T$66))/'GW-1 Exp'!$R$66))*('GW-1 Exp'!$U$66*'GW-1 Exp'!$V$66*'GW-1 Exp'!$W$66*'GW-1 Exp'!$X$66*'GW-1 Exp'!$AB$66/'GW-1 Exp'!$Y$66))*1)),0)</f>
        <v>0</v>
      </c>
      <c r="M108" s="518">
        <f>IF(OR((VLOOKUP(A108,[1]!TOX,8,FALSE))=0,J108=0),0,'[1]Target Risk'!$D$8*(VLOOKUP(A108,[1]!TOX,8,FALSE))*'GW-1 Exp'!$Z$58/(VLOOKUP(A108,DWInhale,10,FALSE)))</f>
        <v>1.971755228660424E-2</v>
      </c>
      <c r="N108" s="519">
        <f>IF(OR(K108=0,(VLOOKUP(A108,[1]!TOX,15,FALSE))=0),0,IF(VLOOKUP(A108,[1]!TOX,36,FALSE)="M",'[1]Target Risk'!$D$12/((VLOOKUP(A108,[1]!TOX,15,FALSE))*(VLOOKUP(A108,DWInhale,12,FALSE))), '[1]Target Risk'!$D$12/((VLOOKUP(A108,[1]!TOX,15,FALSE))*(VLOOKUP(A108,DWInhale,11,FALSE)))))</f>
        <v>6.7092873710940928E-2</v>
      </c>
      <c r="O108" s="520">
        <f>IF(OR(VLOOKUP(A108,[1]!TOX,15,FALSE)=0, NOT(VLOOKUP(A108,[1]!TOX,36,FALSE)="M")),0,'[1]Target Risk'!$D$12/(VLOOKUP(A108,[1]!TOX,15,FALSE)*VLOOKUP(A108,DWInhale,12,FALSE)))</f>
        <v>0</v>
      </c>
    </row>
    <row r="109" spans="1:15" x14ac:dyDescent="0.25">
      <c r="A109" s="510" t="s">
        <v>242</v>
      </c>
      <c r="B109" s="511">
        <f>(VLOOKUP(A109,[1]!TOX,54,FALSE))</f>
        <v>1.19E-5</v>
      </c>
      <c r="C109" s="512">
        <f>(VLOOKUP(A109,[1]!TOX,57,FALSE))</f>
        <v>202</v>
      </c>
      <c r="D109" s="513">
        <f>IF(C109=0,0,'GW-1 Exp'!$F$58*(18/C109)^0.5)</f>
        <v>895.53347118899023</v>
      </c>
      <c r="E109" s="514">
        <f>IF(C109=0,0,'GW-1 Exp'!$G$58*(44/C109)^0.5)</f>
        <v>9.3342762371427135</v>
      </c>
      <c r="F109" s="514">
        <f>IF(B109*D109=0,0,((1/E109)+(('GW-1 Exp'!$E$58*'GW-1 Exp'!$M$58)/(B109*D109)))^-1)</f>
        <v>0.42343371110167127</v>
      </c>
      <c r="G109" s="514">
        <f>F109*(('GW-1 Exp'!$H$58*'GW-1 Exp'!$J$58)/('GW-1 Exp'!$N$58*'GW-1 Exp'!$I$58))^-0.5</f>
        <v>0.57197350460572316</v>
      </c>
      <c r="H109" s="514">
        <f>(1-EXP((-1*G109*'GW-1 Exp'!$D$58)/(60*'GW-1 Exp'!$C$58)))</f>
        <v>1.8885181033910681E-2</v>
      </c>
      <c r="I109" s="515">
        <f>H109*'GW-1 Exp'!$P$58/'GW-1 Exp'!$Q$58</f>
        <v>3.1475301723184468E-2</v>
      </c>
      <c r="J109" s="516">
        <f>(('GW-1 Inhale'!$I109)/('GW-1 Exp'!$R$58))*('GW-1 Exp'!$S$48+(EXP(-1*'GW-1 Exp'!$R$58*'GW-1 Exp'!$T$48)/'GW-1 Exp'!$R$58)-(EXP('GW-1 Exp'!$R$58*('GW-1 Exp'!$S$48-'GW-1 Exp'!$T$48))/'GW-1 Exp'!$R$58))*('GW-1 Exp'!$U$48*'GW-1 Exp'!$V$48*'GW-1 Exp'!$W$48*'GW-1 Exp'!$X$48*'GW-1 Exp'!$AB$58/'GW-1 Exp'!$Y$48)</f>
        <v>2.0605991959414094E-2</v>
      </c>
      <c r="K109" s="517">
        <f>(('GW-1 Inhale'!$I109)/('GW-1 Exp'!$R$58))*('GW-1 Exp'!$S$56+(EXP(-1*'GW-1 Exp'!$R$58*'GW-1 Exp'!$T$56)/'GW-1 Exp'!$R$58)-(EXP('GW-1 Exp'!$R$58*('GW-1 Exp'!$S$56-'GW-1 Exp'!$T$56))/'GW-1 Exp'!$R$58))*('GW-1 Exp'!$U$56*'GW-1 Exp'!$V$56*'GW-1 Exp'!$W$56*'GW-1 Exp'!$X$56*'GW-1 Exp'!$AB$58/'GW-1 Exp'!$Y$56)</f>
        <v>1.5139451532049892E-2</v>
      </c>
      <c r="L109" s="517">
        <f xml:space="preserve"> IF(VLOOKUP(A109,[1]!TOX,36,FALSE)="M",((((('GW-1 Inhale'!$I109)/('GW-1 Exp'!$R$63))*('GW-1 Exp'!$S$63+(EXP(-1*'GW-1 Exp'!$R$63*'GW-1 Exp'!$T$63)/'GW-1 Exp'!$R$63)-(EXP('GW-1 Exp'!$R$63*('GW-1 Exp'!$S$63-'GW-1 Exp'!$T$63))/'GW-1 Exp'!$R$63))*('GW-1 Exp'!$U$63*'GW-1 Exp'!$V$63*'GW-1 Exp'!$W$63*'GW-1 Exp'!$X$63*'GW-1 Exp'!$AB$63/'GW-1 Exp'!$Y$63)*10))+(((('GW-1 Inhale'!$I109)/('GW-1 Exp'!$R$64))*('GW-1 Exp'!$S$64+(EXP(-1*'GW-1 Exp'!$R$64*'GW-1 Exp'!$T$64)/'GW-1 Exp'!$R$64)-(EXP('GW-1 Exp'!$R$64*('GW-1 Exp'!$S$64-'GW-1 Exp'!$T$64))/'GW-1 Exp'!$R$64))*('GW-1 Exp'!$U$64*'GW-1 Exp'!$V$64*'GW-1 Exp'!$W$64*'GW-1 Exp'!$X$64*'GW-1 Exp'!$AB$64/'GW-1 Exp'!$Y$64))*3)+(((('GW-1 Inhale'!$I109)/('GW-1 Exp'!$R$65))*('GW-1 Exp'!$S$65+(EXP(-1*'GW-1 Exp'!$R$65*'GW-1 Exp'!$T$65)/'GW-1 Exp'!$R$65)-(EXP('GW-1 Exp'!$R$65*('GW-1 Exp'!$S$65-'GW-1 Exp'!$T$65))/'GW-1 Exp'!$R$65))*('GW-1 Exp'!$U$65*'GW-1 Exp'!$V$65*'GW-1 Exp'!$W$65*'GW-1 Exp'!$X$65*'GW-1 Exp'!$AB$65/'GW-1 Exp'!$Y$65))*3)+(((('GW-1 Inhale'!$I109)/('GW-1 Exp'!$R$66))*('GW-1 Exp'!$S$66+(EXP(-1*'GW-1 Exp'!$R$66*'GW-1 Exp'!$T$66)/'GW-1 Exp'!$R$66)-(EXP('GW-1 Exp'!$R$66*('GW-1 Exp'!$S$66-'GW-1 Exp'!$T$66))/'GW-1 Exp'!$R$66))*('GW-1 Exp'!$U$66*'GW-1 Exp'!$V$66*'GW-1 Exp'!$W$66*'GW-1 Exp'!$X$66*'GW-1 Exp'!$AB$66/'GW-1 Exp'!$Y$66))*1)),0)</f>
        <v>0</v>
      </c>
      <c r="M109" s="518">
        <f>IF(OR((VLOOKUP(A109,[1]!TOX,8,FALSE))=0,J109=0),0,'[1]Target Risk'!$D$8*(VLOOKUP(A109,[1]!TOX,8,FALSE))*'GW-1 Exp'!$Z$58/(VLOOKUP(A109,DWInhale,10,FALSE)))</f>
        <v>485.2957343522296</v>
      </c>
      <c r="N109" s="519">
        <f>IF(OR(K109=0,(VLOOKUP(A109,[1]!TOX,15,FALSE))=0),0,IF(VLOOKUP(A109,[1]!TOX,36,FALSE)="M",'[1]Target Risk'!$D$12/((VLOOKUP(A109,[1]!TOX,15,FALSE))*(VLOOKUP(A109,DWInhale,12,FALSE))), '[1]Target Risk'!$D$12/((VLOOKUP(A109,[1]!TOX,15,FALSE))*(VLOOKUP(A109,DWInhale,11,FALSE)))))</f>
        <v>0</v>
      </c>
      <c r="O109" s="520">
        <f>IF(OR(VLOOKUP(A109,[1]!TOX,15,FALSE)=0, NOT(VLOOKUP(A109,[1]!TOX,36,FALSE)="M")),0,'[1]Target Risk'!$D$12/(VLOOKUP(A109,[1]!TOX,15,FALSE)*VLOOKUP(A109,DWInhale,12,FALSE)))</f>
        <v>0</v>
      </c>
    </row>
    <row r="110" spans="1:15" x14ac:dyDescent="0.25">
      <c r="A110" s="522" t="s">
        <v>433</v>
      </c>
      <c r="B110" s="511">
        <f>(VLOOKUP(A110,[1]!TOX,54,FALSE))</f>
        <v>6.3199999999999997E-8</v>
      </c>
      <c r="C110" s="512">
        <f>(VLOOKUP(A110,[1]!TOX,57,FALSE))</f>
        <v>222.26</v>
      </c>
      <c r="D110" s="513">
        <f>IF(C110=0,0,'GW-1 Exp'!$F$58*(18/C110)^0.5)</f>
        <v>853.74240322507057</v>
      </c>
      <c r="E110" s="514">
        <f>IF(C110=0,0,'GW-1 Exp'!$G$58*(44/C110)^0.5)</f>
        <v>8.8986818287031113</v>
      </c>
      <c r="F110" s="514">
        <f>IF(B110*D110=0,0,((1/E110)+(('GW-1 Exp'!$E$58*'GW-1 Exp'!$M$58)/(B110*D110)))^-1)</f>
        <v>2.2451888097183271E-3</v>
      </c>
      <c r="G110" s="514">
        <f>F110*(('GW-1 Exp'!$H$58*'GW-1 Exp'!$J$58)/('GW-1 Exp'!$N$58*'GW-1 Exp'!$I$58))^-0.5</f>
        <v>3.0327970549510531E-3</v>
      </c>
      <c r="H110" s="514">
        <f>(1-EXP((-1*G110*'GW-1 Exp'!$D$58)/(60*'GW-1 Exp'!$C$58)))</f>
        <v>1.0108812541609336E-4</v>
      </c>
      <c r="I110" s="515">
        <f>H110*'GW-1 Exp'!$P$58/'GW-1 Exp'!$Q$58</f>
        <v>1.6848020902682226E-4</v>
      </c>
      <c r="J110" s="516">
        <f>(('GW-1 Inhale'!$I109)/('GW-1 Exp'!$R$58))*('GW-1 Exp'!$S$48+(EXP(-1*'GW-1 Exp'!$R$58*'GW-1 Exp'!$T$48)/'GW-1 Exp'!$R$58)-(EXP('GW-1 Exp'!$R$58*('GW-1 Exp'!$S$48-'GW-1 Exp'!$T$48))/'GW-1 Exp'!$R$58))*('GW-1 Exp'!$U$48*'GW-1 Exp'!$V$48*'GW-1 Exp'!$W$48*'GW-1 Exp'!$X$48*'GW-1 Exp'!$AB$58/'GW-1 Exp'!$Y$48)</f>
        <v>2.0605991959414094E-2</v>
      </c>
      <c r="K110" s="517">
        <f>(('GW-1 Inhale'!$I110)/('GW-1 Exp'!$R$58))*('GW-1 Exp'!$S$56+(EXP(-1*'GW-1 Exp'!$R$58*'GW-1 Exp'!$T$56)/'GW-1 Exp'!$R$58)-(EXP('GW-1 Exp'!$R$58*('GW-1 Exp'!$S$56-'GW-1 Exp'!$T$56))/'GW-1 Exp'!$R$58))*('GW-1 Exp'!$U$56*'GW-1 Exp'!$V$56*'GW-1 Exp'!$W$56*'GW-1 Exp'!$X$56*'GW-1 Exp'!$AB$58/'GW-1 Exp'!$Y$56)</f>
        <v>8.1038078081151021E-5</v>
      </c>
      <c r="L110" s="517">
        <f xml:space="preserve"> IF(VLOOKUP(A110,[1]!TOX,36,FALSE)="M",((((('GW-1 Inhale'!$I110)/('GW-1 Exp'!$R$63))*('GW-1 Exp'!$S$63+(EXP(-1*'GW-1 Exp'!$R$63*'GW-1 Exp'!$T$63)/'GW-1 Exp'!$R$63)-(EXP('GW-1 Exp'!$R$63*('GW-1 Exp'!$S$63-'GW-1 Exp'!$T$63))/'GW-1 Exp'!$R$63))*('GW-1 Exp'!$U$63*'GW-1 Exp'!$V$63*'GW-1 Exp'!$W$63*'GW-1 Exp'!$X$63*'GW-1 Exp'!$AB$63/'GW-1 Exp'!$Y$63)*10))+(((('GW-1 Inhale'!$I110)/('GW-1 Exp'!$R$64))*('GW-1 Exp'!$S$64+(EXP(-1*'GW-1 Exp'!$R$64*'GW-1 Exp'!$T$64)/'GW-1 Exp'!$R$64)-(EXP('GW-1 Exp'!$R$64*('GW-1 Exp'!$S$64-'GW-1 Exp'!$T$64))/'GW-1 Exp'!$R$64))*('GW-1 Exp'!$U$64*'GW-1 Exp'!$V$64*'GW-1 Exp'!$W$64*'GW-1 Exp'!$X$64*'GW-1 Exp'!$AB$64/'GW-1 Exp'!$Y$64))*3)+(((('GW-1 Inhale'!$I110)/('GW-1 Exp'!$R$65))*('GW-1 Exp'!$S$65+(EXP(-1*'GW-1 Exp'!$R$65*'GW-1 Exp'!$T$65)/'GW-1 Exp'!$R$65)-(EXP('GW-1 Exp'!$R$65*('GW-1 Exp'!$S$65-'GW-1 Exp'!$T$65))/'GW-1 Exp'!$R$65))*('GW-1 Exp'!$U$65*'GW-1 Exp'!$V$65*'GW-1 Exp'!$W$65*'GW-1 Exp'!$X$65*'GW-1 Exp'!$AB$65/'GW-1 Exp'!$Y$65))*3)+(((('GW-1 Inhale'!$I110)/('GW-1 Exp'!$R$66))*('GW-1 Exp'!$S$66+(EXP(-1*'GW-1 Exp'!$R$66*'GW-1 Exp'!$T$66)/'GW-1 Exp'!$R$66)-(EXP('GW-1 Exp'!$R$66*('GW-1 Exp'!$S$66-'GW-1 Exp'!$T$66))/'GW-1 Exp'!$R$66))*('GW-1 Exp'!$U$66*'GW-1 Exp'!$V$66*'GW-1 Exp'!$W$66*'GW-1 Exp'!$X$66*'GW-1 Exp'!$AB$66/'GW-1 Exp'!$Y$66))*1)),0)</f>
        <v>0</v>
      </c>
      <c r="M110" s="518">
        <f>IF(OR((VLOOKUP(A110,[1]!TOX,8,FALSE))=0,J110=0),0,'[1]Target Risk'!$D$8*(VLOOKUP(A110,[1]!TOX,8,FALSE))*'GW-1 Exp'!$Z$58/(VLOOKUP(A110,DWInhale,10,FALSE)))</f>
        <v>106.76506155749051</v>
      </c>
      <c r="N110" s="519">
        <f>IF(OR(K110=0,(VLOOKUP(A110,[1]!TOX,15,FALSE))=0),0,IF(VLOOKUP(A110,[1]!TOX,36,FALSE)="M",'[1]Target Risk'!$D$12/((VLOOKUP(A110,[1]!TOX,15,FALSE))*(VLOOKUP(A110,DWInhale,12,FALSE))), '[1]Target Risk'!$D$12/((VLOOKUP(A110,[1]!TOX,15,FALSE))*(VLOOKUP(A110,DWInhale,11,FALSE)))))</f>
        <v>392.63248304481368</v>
      </c>
      <c r="O110" s="520">
        <f>IF(OR(VLOOKUP(A110,[1]!TOX,15,FALSE)=0, NOT(VLOOKUP(A110,[1]!TOX,36,FALSE)="M")),0,'[1]Target Risk'!$D$12/(VLOOKUP(A110,[1]!TOX,15,FALSE)*VLOOKUP(A110,DWInhale,12,FALSE)))</f>
        <v>0</v>
      </c>
    </row>
    <row r="111" spans="1:15" x14ac:dyDescent="0.25">
      <c r="A111" s="510" t="s">
        <v>243</v>
      </c>
      <c r="B111" s="511">
        <f>(VLOOKUP(A111,[1]!TOX,54,FALSE))</f>
        <v>0</v>
      </c>
      <c r="C111" s="512">
        <f>(VLOOKUP(A111,[1]!TOX,57,FALSE))</f>
        <v>79</v>
      </c>
      <c r="D111" s="513">
        <f>IF(C111=0,0,'GW-1 Exp'!$F$58*(18/C111)^0.5)</f>
        <v>1432.003111516314</v>
      </c>
      <c r="E111" s="514">
        <f>IF(C111=0,0,'GW-1 Exp'!$G$58*(44/C111)^0.5)</f>
        <v>14.925977694160684</v>
      </c>
      <c r="F111" s="514">
        <f>IF(B111*D111=0,0,((1/E111)+(('GW-1 Exp'!$E$58*'GW-1 Exp'!$M$58)/(B111*D111)))^-1)</f>
        <v>0</v>
      </c>
      <c r="G111" s="514">
        <f>F111*(('GW-1 Exp'!$H$58*'GW-1 Exp'!$J$58)/('GW-1 Exp'!$N$58*'GW-1 Exp'!$I$58))^-0.5</f>
        <v>0</v>
      </c>
      <c r="H111" s="514">
        <f>(1-EXP((-1*G111*'GW-1 Exp'!$D$58)/(60*'GW-1 Exp'!$C$58)))</f>
        <v>0</v>
      </c>
      <c r="I111" s="515">
        <f>H111*'GW-1 Exp'!$P$58/'GW-1 Exp'!$Q$58</f>
        <v>0</v>
      </c>
      <c r="J111" s="516">
        <f>(('GW-1 Inhale'!$I111)/('GW-1 Exp'!$R$58))*('GW-1 Exp'!$S$48+(EXP(-1*'GW-1 Exp'!$R$58*'GW-1 Exp'!$T$48)/'GW-1 Exp'!$R$58)-(EXP('GW-1 Exp'!$R$58*('GW-1 Exp'!$S$48-'GW-1 Exp'!$T$48))/'GW-1 Exp'!$R$58))*('GW-1 Exp'!$U$48*'GW-1 Exp'!$V$48*'GW-1 Exp'!$W$48*'GW-1 Exp'!$X$48*'GW-1 Exp'!$AB$58/'GW-1 Exp'!$Y$48)</f>
        <v>0</v>
      </c>
      <c r="K111" s="517">
        <f>(('GW-1 Inhale'!$I111)/('GW-1 Exp'!$R$58))*('GW-1 Exp'!$S$56+(EXP(-1*'GW-1 Exp'!$R$58*'GW-1 Exp'!$T$56)/'GW-1 Exp'!$R$58)-(EXP('GW-1 Exp'!$R$58*('GW-1 Exp'!$S$56-'GW-1 Exp'!$T$56))/'GW-1 Exp'!$R$58))*('GW-1 Exp'!$U$56*'GW-1 Exp'!$V$56*'GW-1 Exp'!$W$56*'GW-1 Exp'!$X$56*'GW-1 Exp'!$AB$58/'GW-1 Exp'!$Y$56)</f>
        <v>0</v>
      </c>
      <c r="L111" s="517">
        <f xml:space="preserve"> IF(VLOOKUP(A111,[1]!TOX,36,FALSE)="M",((((('GW-1 Inhale'!$I111)/('GW-1 Exp'!$R$63))*('GW-1 Exp'!$S$63+(EXP(-1*'GW-1 Exp'!$R$63*'GW-1 Exp'!$T$63)/'GW-1 Exp'!$R$63)-(EXP('GW-1 Exp'!$R$63*('GW-1 Exp'!$S$63-'GW-1 Exp'!$T$63))/'GW-1 Exp'!$R$63))*('GW-1 Exp'!$U$63*'GW-1 Exp'!$V$63*'GW-1 Exp'!$W$63*'GW-1 Exp'!$X$63*'GW-1 Exp'!$AB$63/'GW-1 Exp'!$Y$63)*10))+(((('GW-1 Inhale'!$I111)/('GW-1 Exp'!$R$64))*('GW-1 Exp'!$S$64+(EXP(-1*'GW-1 Exp'!$R$64*'GW-1 Exp'!$T$64)/'GW-1 Exp'!$R$64)-(EXP('GW-1 Exp'!$R$64*('GW-1 Exp'!$S$64-'GW-1 Exp'!$T$64))/'GW-1 Exp'!$R$64))*('GW-1 Exp'!$U$64*'GW-1 Exp'!$V$64*'GW-1 Exp'!$W$64*'GW-1 Exp'!$X$64*'GW-1 Exp'!$AB$64/'GW-1 Exp'!$Y$64))*3)+(((('GW-1 Inhale'!$I111)/('GW-1 Exp'!$R$65))*('GW-1 Exp'!$S$65+(EXP(-1*'GW-1 Exp'!$R$65*'GW-1 Exp'!$T$65)/'GW-1 Exp'!$R$65)-(EXP('GW-1 Exp'!$R$65*('GW-1 Exp'!$S$65-'GW-1 Exp'!$T$65))/'GW-1 Exp'!$R$65))*('GW-1 Exp'!$U$65*'GW-1 Exp'!$V$65*'GW-1 Exp'!$W$65*'GW-1 Exp'!$X$65*'GW-1 Exp'!$AB$65/'GW-1 Exp'!$Y$65))*3)+(((('GW-1 Inhale'!$I111)/('GW-1 Exp'!$R$66))*('GW-1 Exp'!$S$66+(EXP(-1*'GW-1 Exp'!$R$66*'GW-1 Exp'!$T$66)/'GW-1 Exp'!$R$66)-(EXP('GW-1 Exp'!$R$66*('GW-1 Exp'!$S$66-'GW-1 Exp'!$T$66))/'GW-1 Exp'!$R$66))*('GW-1 Exp'!$U$66*'GW-1 Exp'!$V$66*'GW-1 Exp'!$W$66*'GW-1 Exp'!$X$66*'GW-1 Exp'!$AB$66/'GW-1 Exp'!$Y$66))*1)),0)</f>
        <v>0</v>
      </c>
      <c r="M111" s="518">
        <f>IF(OR((VLOOKUP(A111,[1]!TOX,8,FALSE))=0,J111=0),0,'[1]Target Risk'!$D$8*(VLOOKUP(A111,[1]!TOX,8,FALSE))*'GW-1 Exp'!$Z$58/(VLOOKUP(A111,DWInhale,10,FALSE)))</f>
        <v>0</v>
      </c>
      <c r="N111" s="519">
        <f>IF(OR(K111=0,(VLOOKUP(A111,[1]!TOX,15,FALSE))=0),0,IF(VLOOKUP(A111,[1]!TOX,36,FALSE)="M",'[1]Target Risk'!$D$12/((VLOOKUP(A111,[1]!TOX,15,FALSE))*(VLOOKUP(A111,DWInhale,12,FALSE))), '[1]Target Risk'!$D$12/((VLOOKUP(A111,[1]!TOX,15,FALSE))*(VLOOKUP(A111,DWInhale,11,FALSE)))))</f>
        <v>0</v>
      </c>
      <c r="O111" s="520">
        <f>IF(OR(VLOOKUP(A111,[1]!TOX,15,FALSE)=0, NOT(VLOOKUP(A111,[1]!TOX,36,FALSE)="M")),0,'[1]Target Risk'!$D$12/(VLOOKUP(A111,[1]!TOX,15,FALSE)*VLOOKUP(A111,DWInhale,12,FALSE)))</f>
        <v>0</v>
      </c>
    </row>
    <row r="112" spans="1:15" x14ac:dyDescent="0.25">
      <c r="A112" s="510" t="s">
        <v>244</v>
      </c>
      <c r="B112" s="511">
        <f>(VLOOKUP(A112,[1]!TOX,54,FALSE))</f>
        <v>0</v>
      </c>
      <c r="C112" s="512">
        <f>(VLOOKUP(A112,[1]!TOX,57,FALSE))</f>
        <v>108</v>
      </c>
      <c r="D112" s="513">
        <f>IF(C112=0,0,'GW-1 Exp'!$F$58*(18/C112)^0.5)</f>
        <v>1224.744871391589</v>
      </c>
      <c r="E112" s="514">
        <f>IF(C112=0,0,'GW-1 Exp'!$G$58*(44/C112)^0.5)</f>
        <v>12.765694770084508</v>
      </c>
      <c r="F112" s="514">
        <f>IF(B112*D112=0,0,((1/E112)+(('GW-1 Exp'!$E$58*'GW-1 Exp'!$M$58)/(B112*D112)))^-1)</f>
        <v>0</v>
      </c>
      <c r="G112" s="514">
        <f>F112*(('GW-1 Exp'!$H$58*'GW-1 Exp'!$J$58)/('GW-1 Exp'!$N$58*'GW-1 Exp'!$I$58))^-0.5</f>
        <v>0</v>
      </c>
      <c r="H112" s="514">
        <f>(1-EXP((-1*G112*'GW-1 Exp'!$D$58)/(60*'GW-1 Exp'!$C$58)))</f>
        <v>0</v>
      </c>
      <c r="I112" s="515">
        <f>H112*'GW-1 Exp'!$P$58/'GW-1 Exp'!$Q$58</f>
        <v>0</v>
      </c>
      <c r="J112" s="516">
        <f>(('GW-1 Inhale'!$I112)/('GW-1 Exp'!$R$58))*('GW-1 Exp'!$S$48+(EXP(-1*'GW-1 Exp'!$R$58*'GW-1 Exp'!$T$48)/'GW-1 Exp'!$R$58)-(EXP('GW-1 Exp'!$R$58*('GW-1 Exp'!$S$48-'GW-1 Exp'!$T$48))/'GW-1 Exp'!$R$58))*('GW-1 Exp'!$U$48*'GW-1 Exp'!$V$48*'GW-1 Exp'!$W$48*'GW-1 Exp'!$X$48*'GW-1 Exp'!$AB$58/'GW-1 Exp'!$Y$48)</f>
        <v>0</v>
      </c>
      <c r="K112" s="517">
        <f>(('GW-1 Inhale'!$I112)/('GW-1 Exp'!$R$58))*('GW-1 Exp'!$S$56+(EXP(-1*'GW-1 Exp'!$R$58*'GW-1 Exp'!$T$56)/'GW-1 Exp'!$R$58)-(EXP('GW-1 Exp'!$R$58*('GW-1 Exp'!$S$56-'GW-1 Exp'!$T$56))/'GW-1 Exp'!$R$58))*('GW-1 Exp'!$U$56*'GW-1 Exp'!$V$56*'GW-1 Exp'!$W$56*'GW-1 Exp'!$X$56*'GW-1 Exp'!$AB$58/'GW-1 Exp'!$Y$56)</f>
        <v>0</v>
      </c>
      <c r="L112" s="517">
        <f xml:space="preserve"> IF(VLOOKUP(A112,[1]!TOX,36,FALSE)="M",((((('GW-1 Inhale'!$I112)/('GW-1 Exp'!$R$63))*('GW-1 Exp'!$S$63+(EXP(-1*'GW-1 Exp'!$R$63*'GW-1 Exp'!$T$63)/'GW-1 Exp'!$R$63)-(EXP('GW-1 Exp'!$R$63*('GW-1 Exp'!$S$63-'GW-1 Exp'!$T$63))/'GW-1 Exp'!$R$63))*('GW-1 Exp'!$U$63*'GW-1 Exp'!$V$63*'GW-1 Exp'!$W$63*'GW-1 Exp'!$X$63*'GW-1 Exp'!$AB$63/'GW-1 Exp'!$Y$63)*10))+(((('GW-1 Inhale'!$I112)/('GW-1 Exp'!$R$64))*('GW-1 Exp'!$S$64+(EXP(-1*'GW-1 Exp'!$R$64*'GW-1 Exp'!$T$64)/'GW-1 Exp'!$R$64)-(EXP('GW-1 Exp'!$R$64*('GW-1 Exp'!$S$64-'GW-1 Exp'!$T$64))/'GW-1 Exp'!$R$64))*('GW-1 Exp'!$U$64*'GW-1 Exp'!$V$64*'GW-1 Exp'!$W$64*'GW-1 Exp'!$X$64*'GW-1 Exp'!$AB$64/'GW-1 Exp'!$Y$64))*3)+(((('GW-1 Inhale'!$I112)/('GW-1 Exp'!$R$65))*('GW-1 Exp'!$S$65+(EXP(-1*'GW-1 Exp'!$R$65*'GW-1 Exp'!$T$65)/'GW-1 Exp'!$R$65)-(EXP('GW-1 Exp'!$R$65*('GW-1 Exp'!$S$65-'GW-1 Exp'!$T$65))/'GW-1 Exp'!$R$65))*('GW-1 Exp'!$U$65*'GW-1 Exp'!$V$65*'GW-1 Exp'!$W$65*'GW-1 Exp'!$X$65*'GW-1 Exp'!$AB$65/'GW-1 Exp'!$Y$65))*3)+(((('GW-1 Inhale'!$I112)/('GW-1 Exp'!$R$66))*('GW-1 Exp'!$S$66+(EXP(-1*'GW-1 Exp'!$R$66*'GW-1 Exp'!$T$66)/'GW-1 Exp'!$R$66)-(EXP('GW-1 Exp'!$R$66*('GW-1 Exp'!$S$66-'GW-1 Exp'!$T$66))/'GW-1 Exp'!$R$66))*('GW-1 Exp'!$U$66*'GW-1 Exp'!$V$66*'GW-1 Exp'!$W$66*'GW-1 Exp'!$X$66*'GW-1 Exp'!$AB$66/'GW-1 Exp'!$Y$66))*1)),0)</f>
        <v>0</v>
      </c>
      <c r="M112" s="518">
        <f>IF(OR((VLOOKUP(A112,[1]!TOX,8,FALSE))=0,J112=0),0,'[1]Target Risk'!$D$8*(VLOOKUP(A112,[1]!TOX,8,FALSE))*'GW-1 Exp'!$Z$58/(VLOOKUP(A112,DWInhale,10,FALSE)))</f>
        <v>0</v>
      </c>
      <c r="N112" s="519">
        <f>IF(OR(K112=0,(VLOOKUP(A112,[1]!TOX,15,FALSE))=0),0,IF(VLOOKUP(A112,[1]!TOX,36,FALSE)="M",'[1]Target Risk'!$D$12/((VLOOKUP(A112,[1]!TOX,15,FALSE))*(VLOOKUP(A112,DWInhale,12,FALSE))), '[1]Target Risk'!$D$12/((VLOOKUP(A112,[1]!TOX,15,FALSE))*(VLOOKUP(A112,DWInhale,11,FALSE)))))</f>
        <v>0</v>
      </c>
      <c r="O112" s="520">
        <f>IF(OR(VLOOKUP(A112,[1]!TOX,15,FALSE)=0, NOT(VLOOKUP(A112,[1]!TOX,36,FALSE)="M")),0,'[1]Target Risk'!$D$12/(VLOOKUP(A112,[1]!TOX,15,FALSE)*VLOOKUP(A112,DWInhale,12,FALSE)))</f>
        <v>0</v>
      </c>
    </row>
    <row r="113" spans="1:15" x14ac:dyDescent="0.25">
      <c r="A113" s="510" t="s">
        <v>245</v>
      </c>
      <c r="B113" s="511">
        <f>(VLOOKUP(A113,[1]!TOX,54,FALSE))</f>
        <v>2.7499999999999998E-3</v>
      </c>
      <c r="C113" s="512">
        <f>(VLOOKUP(A113,[1]!TOX,57,FALSE))</f>
        <v>104</v>
      </c>
      <c r="D113" s="513">
        <f>IF(C113=0,0,'GW-1 Exp'!$F$58*(18/C113)^0.5)</f>
        <v>1248.0754415067656</v>
      </c>
      <c r="E113" s="514">
        <f>IF(C113=0,0,'GW-1 Exp'!$G$58*(44/C113)^0.5)</f>
        <v>13.008872711759818</v>
      </c>
      <c r="F113" s="514">
        <f>IF(B113*D113=0,0,((1/E113)+(('GW-1 Exp'!$E$58*'GW-1 Exp'!$M$58)/(B113*D113)))^-1)</f>
        <v>11.923104881972719</v>
      </c>
      <c r="G113" s="514">
        <f>F113*(('GW-1 Exp'!$H$58*'GW-1 Exp'!$J$58)/('GW-1 Exp'!$N$58*'GW-1 Exp'!$I$58))^-0.5</f>
        <v>16.105708889781937</v>
      </c>
      <c r="H113" s="514">
        <f>(1-EXP((-1*G113*'GW-1 Exp'!$D$58)/(60*'GW-1 Exp'!$C$58)))</f>
        <v>0.41541726689264802</v>
      </c>
      <c r="I113" s="515">
        <f>H113*'GW-1 Exp'!$P$58/'GW-1 Exp'!$Q$58</f>
        <v>0.69236211148774673</v>
      </c>
      <c r="J113" s="516">
        <f>(('GW-1 Inhale'!$I113)/('GW-1 Exp'!$R$58))*('GW-1 Exp'!$S$48+(EXP(-1*'GW-1 Exp'!$R$58*'GW-1 Exp'!$T$48)/'GW-1 Exp'!$R$58)-(EXP('GW-1 Exp'!$R$58*('GW-1 Exp'!$S$48-'GW-1 Exp'!$T$48))/'GW-1 Exp'!$R$58))*('GW-1 Exp'!$U$48*'GW-1 Exp'!$V$48*'GW-1 Exp'!$W$48*'GW-1 Exp'!$X$48*'GW-1 Exp'!$AB$58/'GW-1 Exp'!$Y$48)</f>
        <v>0.45326993932549497</v>
      </c>
      <c r="K113" s="517">
        <f>(('GW-1 Inhale'!$I113)/('GW-1 Exp'!$R$58))*('GW-1 Exp'!$S$56+(EXP(-1*'GW-1 Exp'!$R$58*'GW-1 Exp'!$T$56)/'GW-1 Exp'!$R$58)-(EXP('GW-1 Exp'!$R$58*('GW-1 Exp'!$S$56-'GW-1 Exp'!$T$56))/'GW-1 Exp'!$R$58))*('GW-1 Exp'!$U$56*'GW-1 Exp'!$V$56*'GW-1 Exp'!$W$56*'GW-1 Exp'!$X$56*'GW-1 Exp'!$AB$58/'GW-1 Exp'!$Y$56)</f>
        <v>0.33302246700229454</v>
      </c>
      <c r="L113" s="517">
        <f xml:space="preserve"> IF(VLOOKUP(A113,[1]!TOX,36,FALSE)="M",((((('GW-1 Inhale'!$I113)/('GW-1 Exp'!$R$63))*('GW-1 Exp'!$S$63+(EXP(-1*'GW-1 Exp'!$R$63*'GW-1 Exp'!$T$63)/'GW-1 Exp'!$R$63)-(EXP('GW-1 Exp'!$R$63*('GW-1 Exp'!$S$63-'GW-1 Exp'!$T$63))/'GW-1 Exp'!$R$63))*('GW-1 Exp'!$U$63*'GW-1 Exp'!$V$63*'GW-1 Exp'!$W$63*'GW-1 Exp'!$X$63*'GW-1 Exp'!$AB$63/'GW-1 Exp'!$Y$63)*10))+(((('GW-1 Inhale'!$I113)/('GW-1 Exp'!$R$64))*('GW-1 Exp'!$S$64+(EXP(-1*'GW-1 Exp'!$R$64*'GW-1 Exp'!$T$64)/'GW-1 Exp'!$R$64)-(EXP('GW-1 Exp'!$R$64*('GW-1 Exp'!$S$64-'GW-1 Exp'!$T$64))/'GW-1 Exp'!$R$64))*('GW-1 Exp'!$U$64*'GW-1 Exp'!$V$64*'GW-1 Exp'!$W$64*'GW-1 Exp'!$X$64*'GW-1 Exp'!$AB$64/'GW-1 Exp'!$Y$64))*3)+(((('GW-1 Inhale'!$I113)/('GW-1 Exp'!$R$65))*('GW-1 Exp'!$S$65+(EXP(-1*'GW-1 Exp'!$R$65*'GW-1 Exp'!$T$65)/'GW-1 Exp'!$R$65)-(EXP('GW-1 Exp'!$R$65*('GW-1 Exp'!$S$65-'GW-1 Exp'!$T$65))/'GW-1 Exp'!$R$65))*('GW-1 Exp'!$U$65*'GW-1 Exp'!$V$65*'GW-1 Exp'!$W$65*'GW-1 Exp'!$X$65*'GW-1 Exp'!$AB$65/'GW-1 Exp'!$Y$65))*3)+(((('GW-1 Inhale'!$I113)/('GW-1 Exp'!$R$66))*('GW-1 Exp'!$S$66+(EXP(-1*'GW-1 Exp'!$R$66*'GW-1 Exp'!$T$66)/'GW-1 Exp'!$R$66)-(EXP('GW-1 Exp'!$R$66*('GW-1 Exp'!$S$66-'GW-1 Exp'!$T$66))/'GW-1 Exp'!$R$66))*('GW-1 Exp'!$U$66*'GW-1 Exp'!$V$66*'GW-1 Exp'!$W$66*'GW-1 Exp'!$X$66*'GW-1 Exp'!$AB$66/'GW-1 Exp'!$Y$66))*1)),0)</f>
        <v>0</v>
      </c>
      <c r="M113" s="518">
        <f>IF(OR((VLOOKUP(A113,[1]!TOX,8,FALSE))=0,J113=0),0,'[1]Target Risk'!$D$8*(VLOOKUP(A113,[1]!TOX,8,FALSE))*'GW-1 Exp'!$Z$58/(VLOOKUP(A113,DWInhale,10,FALSE)))</f>
        <v>441.23817321223061</v>
      </c>
      <c r="N113" s="519">
        <f>IF(OR(K113=0,(VLOOKUP(A113,[1]!TOX,15,FALSE))=0),0,IF(VLOOKUP(A113,[1]!TOX,36,FALSE)="M",'[1]Target Risk'!$D$12/((VLOOKUP(A113,[1]!TOX,15,FALSE))*(VLOOKUP(A113,DWInhale,12,FALSE))), '[1]Target Risk'!$D$12/((VLOOKUP(A113,[1]!TOX,15,FALSE))*(VLOOKUP(A113,DWInhale,11,FALSE)))))</f>
        <v>5.2680708923467101</v>
      </c>
      <c r="O113" s="520">
        <f>IF(OR(VLOOKUP(A113,[1]!TOX,15,FALSE)=0, NOT(VLOOKUP(A113,[1]!TOX,36,FALSE)="M")),0,'[1]Target Risk'!$D$12/(VLOOKUP(A113,[1]!TOX,15,FALSE)*VLOOKUP(A113,DWInhale,12,FALSE)))</f>
        <v>0</v>
      </c>
    </row>
    <row r="114" spans="1:15" x14ac:dyDescent="0.25">
      <c r="A114" s="510" t="s">
        <v>320</v>
      </c>
      <c r="B114" s="511">
        <f>(VLOOKUP(A114,[1]!TOX,54,FALSE))</f>
        <v>5.0000000000000002E-5</v>
      </c>
      <c r="C114" s="512">
        <f>(VLOOKUP(A114,[1]!TOX,57,FALSE))</f>
        <v>322</v>
      </c>
      <c r="D114" s="513">
        <f>IF(C114=0,0,'GW-1 Exp'!$F$58*(18/C114)^0.5)</f>
        <v>709.2993656151906</v>
      </c>
      <c r="E114" s="514">
        <f>IF(C114=0,0,'GW-1 Exp'!$G$58*(44/C114)^0.5)</f>
        <v>7.3931309398094456</v>
      </c>
      <c r="F114" s="514">
        <f>IF(B114*D114=0,0,((1/E114)+(('GW-1 Exp'!$E$58*'GW-1 Exp'!$M$58)/(B114*D114)))^-1)</f>
        <v>1.2304391787301576</v>
      </c>
      <c r="G114" s="514">
        <f>F114*(('GW-1 Exp'!$H$58*'GW-1 Exp'!$J$58)/('GW-1 Exp'!$N$58*'GW-1 Exp'!$I$58))^-0.5</f>
        <v>1.6620750564035529</v>
      </c>
      <c r="H114" s="514">
        <f>(1-EXP((-1*G114*'GW-1 Exp'!$D$58)/(60*'GW-1 Exp'!$C$58)))</f>
        <v>5.3895737439386027E-2</v>
      </c>
      <c r="I114" s="515">
        <f>H114*'GW-1 Exp'!$P$58/'GW-1 Exp'!$Q$58</f>
        <v>8.9826229065643373E-2</v>
      </c>
      <c r="J114" s="516">
        <f>(('GW-1 Inhale'!$I114)/('GW-1 Exp'!$R$58))*('GW-1 Exp'!$S$48+(EXP(-1*'GW-1 Exp'!$R$58*'GW-1 Exp'!$T$48)/'GW-1 Exp'!$R$58)-(EXP('GW-1 Exp'!$R$58*('GW-1 Exp'!$S$48-'GW-1 Exp'!$T$48))/'GW-1 Exp'!$R$58))*('GW-1 Exp'!$U$48*'GW-1 Exp'!$V$48*'GW-1 Exp'!$W$48*'GW-1 Exp'!$X$48*'GW-1 Exp'!$AB$58/'GW-1 Exp'!$Y$48)</f>
        <v>5.8806697713329109E-2</v>
      </c>
      <c r="K114" s="517">
        <f>(('GW-1 Inhale'!$I114)/('GW-1 Exp'!$R$58))*('GW-1 Exp'!$S$56+(EXP(-1*'GW-1 Exp'!$R$58*'GW-1 Exp'!$T$56)/'GW-1 Exp'!$R$58)-(EXP('GW-1 Exp'!$R$58*('GW-1 Exp'!$S$56-'GW-1 Exp'!$T$56))/'GW-1 Exp'!$R$58))*('GW-1 Exp'!$U$56*'GW-1 Exp'!$V$56*'GW-1 Exp'!$W$56*'GW-1 Exp'!$X$56*'GW-1 Exp'!$AB$58/'GW-1 Exp'!$Y$56)</f>
        <v>4.3205935028238739E-2</v>
      </c>
      <c r="L114" s="517">
        <f xml:space="preserve"> IF(VLOOKUP(A114,[1]!TOX,36,FALSE)="M",((((('GW-1 Inhale'!$I114)/('GW-1 Exp'!$R$63))*('GW-1 Exp'!$S$63+(EXP(-1*'GW-1 Exp'!$R$63*'GW-1 Exp'!$T$63)/'GW-1 Exp'!$R$63)-(EXP('GW-1 Exp'!$R$63*('GW-1 Exp'!$S$63-'GW-1 Exp'!$T$63))/'GW-1 Exp'!$R$63))*('GW-1 Exp'!$U$63*'GW-1 Exp'!$V$63*'GW-1 Exp'!$W$63*'GW-1 Exp'!$X$63*'GW-1 Exp'!$AB$63/'GW-1 Exp'!$Y$63)*10))+(((('GW-1 Inhale'!$I114)/('GW-1 Exp'!$R$64))*('GW-1 Exp'!$S$64+(EXP(-1*'GW-1 Exp'!$R$64*'GW-1 Exp'!$T$64)/'GW-1 Exp'!$R$64)-(EXP('GW-1 Exp'!$R$64*('GW-1 Exp'!$S$64-'GW-1 Exp'!$T$64))/'GW-1 Exp'!$R$64))*('GW-1 Exp'!$U$64*'GW-1 Exp'!$V$64*'GW-1 Exp'!$W$64*'GW-1 Exp'!$X$64*'GW-1 Exp'!$AB$64/'GW-1 Exp'!$Y$64))*3)+(((('GW-1 Inhale'!$I114)/('GW-1 Exp'!$R$65))*('GW-1 Exp'!$S$65+(EXP(-1*'GW-1 Exp'!$R$65*'GW-1 Exp'!$T$65)/'GW-1 Exp'!$R$65)-(EXP('GW-1 Exp'!$R$65*('GW-1 Exp'!$S$65-'GW-1 Exp'!$T$65))/'GW-1 Exp'!$R$65))*('GW-1 Exp'!$U$65*'GW-1 Exp'!$V$65*'GW-1 Exp'!$W$65*'GW-1 Exp'!$X$65*'GW-1 Exp'!$AB$65/'GW-1 Exp'!$Y$65))*3)+(((('GW-1 Inhale'!$I114)/('GW-1 Exp'!$R$66))*('GW-1 Exp'!$S$66+(EXP(-1*'GW-1 Exp'!$R$66*'GW-1 Exp'!$T$66)/'GW-1 Exp'!$R$66)-(EXP('GW-1 Exp'!$R$66*('GW-1 Exp'!$S$66-'GW-1 Exp'!$T$66))/'GW-1 Exp'!$R$66))*('GW-1 Exp'!$U$66*'GW-1 Exp'!$V$66*'GW-1 Exp'!$W$66*'GW-1 Exp'!$X$66*'GW-1 Exp'!$AB$66/'GW-1 Exp'!$Y$66))*1)),0)</f>
        <v>0</v>
      </c>
      <c r="M114" s="518">
        <f>IF(OR((VLOOKUP(A114,[1]!TOX,8,FALSE))=0,J114=0),0,'[1]Target Risk'!$D$8*(VLOOKUP(A114,[1]!TOX,8,FALSE))*'GW-1 Exp'!$Z$58/(VLOOKUP(A114,DWInhale,10,FALSE)))</f>
        <v>6.8019463012516031E-7</v>
      </c>
      <c r="N114" s="519">
        <f>IF(OR(K114=0,(VLOOKUP(A114,[1]!TOX,15,FALSE))=0),0,IF(VLOOKUP(A114,[1]!TOX,36,FALSE)="M",'[1]Target Risk'!$D$12/((VLOOKUP(A114,[1]!TOX,15,FALSE))*(VLOOKUP(A114,DWInhale,12,FALSE))), '[1]Target Risk'!$D$12/((VLOOKUP(A114,[1]!TOX,15,FALSE))*(VLOOKUP(A114,DWInhale,11,FALSE)))))</f>
        <v>7.0136267814189655E-7</v>
      </c>
      <c r="O114" s="520">
        <f>IF(OR(VLOOKUP(A114,[1]!TOX,15,FALSE)=0, NOT(VLOOKUP(A114,[1]!TOX,36,FALSE)="M")),0,'[1]Target Risk'!$D$12/(VLOOKUP(A114,[1]!TOX,15,FALSE)*VLOOKUP(A114,DWInhale,12,FALSE)))</f>
        <v>0</v>
      </c>
    </row>
    <row r="115" spans="1:15" x14ac:dyDescent="0.25">
      <c r="A115" s="510" t="s">
        <v>246</v>
      </c>
      <c r="B115" s="511">
        <f>(VLOOKUP(A115,[1]!TOX,54,FALSE))</f>
        <v>2.4499999999999999E-3</v>
      </c>
      <c r="C115" s="512">
        <f>(VLOOKUP(A115,[1]!TOX,57,FALSE))</f>
        <v>168</v>
      </c>
      <c r="D115" s="513">
        <f>IF(C115=0,0,'GW-1 Exp'!$F$58*(18/C115)^0.5)</f>
        <v>981.98050606196568</v>
      </c>
      <c r="E115" s="514">
        <f>IF(C115=0,0,'GW-1 Exp'!$G$58*(44/C115)^0.5)</f>
        <v>10.23532631438318</v>
      </c>
      <c r="F115" s="514">
        <f>IF(B115*D115=0,0,((1/E115)+(('GW-1 Exp'!$E$58*'GW-1 Exp'!$M$58)/(B115*D115)))^-1)</f>
        <v>9.2861440171602485</v>
      </c>
      <c r="G115" s="514">
        <f>F115*(('GW-1 Exp'!$H$58*'GW-1 Exp'!$J$58)/('GW-1 Exp'!$N$58*'GW-1 Exp'!$I$58))^-0.5</f>
        <v>12.543706838904193</v>
      </c>
      <c r="H115" s="514">
        <f>(1-EXP((-1*G115*'GW-1 Exp'!$D$58)/(60*'GW-1 Exp'!$C$58)))</f>
        <v>0.34171911464035465</v>
      </c>
      <c r="I115" s="515">
        <f>H115*'GW-1 Exp'!$P$58/'GW-1 Exp'!$Q$58</f>
        <v>0.56953185773392445</v>
      </c>
      <c r="J115" s="516">
        <f>(('GW-1 Inhale'!$I115)/('GW-1 Exp'!$R$58))*('GW-1 Exp'!$S$48+(EXP(-1*'GW-1 Exp'!$R$58*'GW-1 Exp'!$T$48)/'GW-1 Exp'!$R$58)-(EXP('GW-1 Exp'!$R$58*('GW-1 Exp'!$S$48-'GW-1 Exp'!$T$48))/'GW-1 Exp'!$R$58))*('GW-1 Exp'!$U$48*'GW-1 Exp'!$V$48*'GW-1 Exp'!$W$48*'GW-1 Exp'!$X$48*'GW-1 Exp'!$AB$58/'GW-1 Exp'!$Y$48)</f>
        <v>0.37285643786063988</v>
      </c>
      <c r="K115" s="517">
        <f>(('GW-1 Inhale'!$I115)/('GW-1 Exp'!$R$58))*('GW-1 Exp'!$S$56+(EXP(-1*'GW-1 Exp'!$R$58*'GW-1 Exp'!$T$56)/'GW-1 Exp'!$R$58)-(EXP('GW-1 Exp'!$R$58*('GW-1 Exp'!$S$56-'GW-1 Exp'!$T$56))/'GW-1 Exp'!$R$58))*('GW-1 Exp'!$U$56*'GW-1 Exp'!$V$56*'GW-1 Exp'!$W$56*'GW-1 Exp'!$X$56*'GW-1 Exp'!$AB$58/'GW-1 Exp'!$Y$56)</f>
        <v>0.27394177288441651</v>
      </c>
      <c r="L115" s="517">
        <f xml:space="preserve"> IF(VLOOKUP(A115,[1]!TOX,36,FALSE)="M",((((('GW-1 Inhale'!$I115)/('GW-1 Exp'!$R$63))*('GW-1 Exp'!$S$63+(EXP(-1*'GW-1 Exp'!$R$63*'GW-1 Exp'!$T$63)/'GW-1 Exp'!$R$63)-(EXP('GW-1 Exp'!$R$63*('GW-1 Exp'!$S$63-'GW-1 Exp'!$T$63))/'GW-1 Exp'!$R$63))*('GW-1 Exp'!$U$63*'GW-1 Exp'!$V$63*'GW-1 Exp'!$W$63*'GW-1 Exp'!$X$63*'GW-1 Exp'!$AB$63/'GW-1 Exp'!$Y$63)*10))+(((('GW-1 Inhale'!$I115)/('GW-1 Exp'!$R$64))*('GW-1 Exp'!$S$64+(EXP(-1*'GW-1 Exp'!$R$64*'GW-1 Exp'!$T$64)/'GW-1 Exp'!$R$64)-(EXP('GW-1 Exp'!$R$64*('GW-1 Exp'!$S$64-'GW-1 Exp'!$T$64))/'GW-1 Exp'!$R$64))*('GW-1 Exp'!$U$64*'GW-1 Exp'!$V$64*'GW-1 Exp'!$W$64*'GW-1 Exp'!$X$64*'GW-1 Exp'!$AB$64/'GW-1 Exp'!$Y$64))*3)+(((('GW-1 Inhale'!$I115)/('GW-1 Exp'!$R$65))*('GW-1 Exp'!$S$65+(EXP(-1*'GW-1 Exp'!$R$65*'GW-1 Exp'!$T$65)/'GW-1 Exp'!$R$65)-(EXP('GW-1 Exp'!$R$65*('GW-1 Exp'!$S$65-'GW-1 Exp'!$T$65))/'GW-1 Exp'!$R$65))*('GW-1 Exp'!$U$65*'GW-1 Exp'!$V$65*'GW-1 Exp'!$W$65*'GW-1 Exp'!$X$65*'GW-1 Exp'!$AB$65/'GW-1 Exp'!$Y$65))*3)+(((('GW-1 Inhale'!$I115)/('GW-1 Exp'!$R$66))*('GW-1 Exp'!$S$66+(EXP(-1*'GW-1 Exp'!$R$66*'GW-1 Exp'!$T$66)/'GW-1 Exp'!$R$66)-(EXP('GW-1 Exp'!$R$66*('GW-1 Exp'!$S$66-'GW-1 Exp'!$T$66))/'GW-1 Exp'!$R$66))*('GW-1 Exp'!$U$66*'GW-1 Exp'!$V$66*'GW-1 Exp'!$W$66*'GW-1 Exp'!$X$66*'GW-1 Exp'!$AB$66/'GW-1 Exp'!$Y$66))*1)),0)</f>
        <v>0</v>
      </c>
      <c r="M115" s="518">
        <f>IF(OR((VLOOKUP(A115,[1]!TOX,8,FALSE))=0,J115=0),0,'[1]Target Risk'!$D$8*(VLOOKUP(A115,[1]!TOX,8,FALSE))*'GW-1 Exp'!$Z$58/(VLOOKUP(A115,DWInhale,10,FALSE)))</f>
        <v>59.00394298199781</v>
      </c>
      <c r="N115" s="519">
        <f>IF(OR(K115=0,(VLOOKUP(A115,[1]!TOX,15,FALSE))=0),0,IF(VLOOKUP(A115,[1]!TOX,36,FALSE)="M",'[1]Target Risk'!$D$12/((VLOOKUP(A115,[1]!TOX,15,FALSE))*(VLOOKUP(A115,DWInhale,12,FALSE))), '[1]Target Risk'!$D$12/((VLOOKUP(A115,[1]!TOX,15,FALSE))*(VLOOKUP(A115,DWInhale,11,FALSE)))))</f>
        <v>0.49329875364482034</v>
      </c>
      <c r="O115" s="520">
        <f>IF(OR(VLOOKUP(A115,[1]!TOX,15,FALSE)=0, NOT(VLOOKUP(A115,[1]!TOX,36,FALSE)="M")),0,'[1]Target Risk'!$D$12/(VLOOKUP(A115,[1]!TOX,15,FALSE)*VLOOKUP(A115,DWInhale,12,FALSE)))</f>
        <v>0</v>
      </c>
    </row>
    <row r="116" spans="1:15" x14ac:dyDescent="0.25">
      <c r="A116" s="510" t="s">
        <v>247</v>
      </c>
      <c r="B116" s="511">
        <f>(VLOOKUP(A116,[1]!TOX,54,FALSE))</f>
        <v>3.6699999999999998E-4</v>
      </c>
      <c r="C116" s="512">
        <f>(VLOOKUP(A116,[1]!TOX,57,FALSE))</f>
        <v>168</v>
      </c>
      <c r="D116" s="513">
        <f>IF(C116=0,0,'GW-1 Exp'!$F$58*(18/C116)^0.5)</f>
        <v>981.98050606196568</v>
      </c>
      <c r="E116" s="514">
        <f>IF(C116=0,0,'GW-1 Exp'!$G$58*(44/C116)^0.5)</f>
        <v>10.23532631438318</v>
      </c>
      <c r="F116" s="514">
        <f>IF(B116*D116=0,0,((1/E116)+(('GW-1 Exp'!$E$58*'GW-1 Exp'!$M$58)/(B116*D116)))^-1)</f>
        <v>6.0839058619674962</v>
      </c>
      <c r="G116" s="514">
        <f>F116*(('GW-1 Exp'!$H$58*'GW-1 Exp'!$J$58)/('GW-1 Exp'!$N$58*'GW-1 Exp'!$I$58))^-0.5</f>
        <v>8.2181292285566379</v>
      </c>
      <c r="H116" s="514">
        <f>(1-EXP((-1*G116*'GW-1 Exp'!$D$58)/(60*'GW-1 Exp'!$C$58)))</f>
        <v>0.23962050967629189</v>
      </c>
      <c r="I116" s="515">
        <f>H116*'GW-1 Exp'!$P$58/'GW-1 Exp'!$Q$58</f>
        <v>0.3993675161271531</v>
      </c>
      <c r="J116" s="516">
        <f>(('GW-1 Inhale'!$I116)/('GW-1 Exp'!$R$58))*('GW-1 Exp'!$S$48+(EXP(-1*'GW-1 Exp'!$R$58*'GW-1 Exp'!$T$48)/'GW-1 Exp'!$R$58)-(EXP('GW-1 Exp'!$R$58*('GW-1 Exp'!$S$48-'GW-1 Exp'!$T$48))/'GW-1 Exp'!$R$58))*('GW-1 Exp'!$U$48*'GW-1 Exp'!$V$48*'GW-1 Exp'!$W$48*'GW-1 Exp'!$X$48*'GW-1 Exp'!$AB$58/'GW-1 Exp'!$Y$48)</f>
        <v>0.26145464461443457</v>
      </c>
      <c r="K116" s="517">
        <f>(('GW-1 Inhale'!$I116)/('GW-1 Exp'!$R$58))*('GW-1 Exp'!$S$56+(EXP(-1*'GW-1 Exp'!$R$58*'GW-1 Exp'!$T$56)/'GW-1 Exp'!$R$58)-(EXP('GW-1 Exp'!$R$58*('GW-1 Exp'!$S$56-'GW-1 Exp'!$T$56))/'GW-1 Exp'!$R$58))*('GW-1 Exp'!$U$56*'GW-1 Exp'!$V$56*'GW-1 Exp'!$W$56*'GW-1 Exp'!$X$56*'GW-1 Exp'!$AB$58/'GW-1 Exp'!$Y$56)</f>
        <v>0.19209363605333127</v>
      </c>
      <c r="L116" s="517">
        <f xml:space="preserve"> IF(VLOOKUP(A116,[1]!TOX,36,FALSE)="M",((((('GW-1 Inhale'!$I116)/('GW-1 Exp'!$R$63))*('GW-1 Exp'!$S$63+(EXP(-1*'GW-1 Exp'!$R$63*'GW-1 Exp'!$T$63)/'GW-1 Exp'!$R$63)-(EXP('GW-1 Exp'!$R$63*('GW-1 Exp'!$S$63-'GW-1 Exp'!$T$63))/'GW-1 Exp'!$R$63))*('GW-1 Exp'!$U$63*'GW-1 Exp'!$V$63*'GW-1 Exp'!$W$63*'GW-1 Exp'!$X$63*'GW-1 Exp'!$AB$63/'GW-1 Exp'!$Y$63)*10))+(((('GW-1 Inhale'!$I116)/('GW-1 Exp'!$R$64))*('GW-1 Exp'!$S$64+(EXP(-1*'GW-1 Exp'!$R$64*'GW-1 Exp'!$T$64)/'GW-1 Exp'!$R$64)-(EXP('GW-1 Exp'!$R$64*('GW-1 Exp'!$S$64-'GW-1 Exp'!$T$64))/'GW-1 Exp'!$R$64))*('GW-1 Exp'!$U$64*'GW-1 Exp'!$V$64*'GW-1 Exp'!$W$64*'GW-1 Exp'!$X$64*'GW-1 Exp'!$AB$64/'GW-1 Exp'!$Y$64))*3)+(((('GW-1 Inhale'!$I116)/('GW-1 Exp'!$R$65))*('GW-1 Exp'!$S$65+(EXP(-1*'GW-1 Exp'!$R$65*'GW-1 Exp'!$T$65)/'GW-1 Exp'!$R$65)-(EXP('GW-1 Exp'!$R$65*('GW-1 Exp'!$S$65-'GW-1 Exp'!$T$65))/'GW-1 Exp'!$R$65))*('GW-1 Exp'!$U$65*'GW-1 Exp'!$V$65*'GW-1 Exp'!$W$65*'GW-1 Exp'!$X$65*'GW-1 Exp'!$AB$65/'GW-1 Exp'!$Y$65))*3)+(((('GW-1 Inhale'!$I116)/('GW-1 Exp'!$R$66))*('GW-1 Exp'!$S$66+(EXP(-1*'GW-1 Exp'!$R$66*'GW-1 Exp'!$T$66)/'GW-1 Exp'!$R$66)-(EXP('GW-1 Exp'!$R$66*('GW-1 Exp'!$S$66-'GW-1 Exp'!$T$66))/'GW-1 Exp'!$R$66))*('GW-1 Exp'!$U$66*'GW-1 Exp'!$V$66*'GW-1 Exp'!$W$66*'GW-1 Exp'!$X$66*'GW-1 Exp'!$AB$66/'GW-1 Exp'!$Y$66))*1)),0)</f>
        <v>0</v>
      </c>
      <c r="M116" s="518">
        <f>IF(OR((VLOOKUP(A116,[1]!TOX,8,FALSE))=0,J116=0),0,'[1]Target Risk'!$D$8*(VLOOKUP(A116,[1]!TOX,8,FALSE))*'GW-1 Exp'!$Z$58/(VLOOKUP(A116,DWInhale,10,FALSE)))</f>
        <v>71.140445898099443</v>
      </c>
      <c r="N116" s="519">
        <f>IF(OR(K116=0,(VLOOKUP(A116,[1]!TOX,15,FALSE))=0),0,IF(VLOOKUP(A116,[1]!TOX,36,FALSE)="M",'[1]Target Risk'!$D$12/((VLOOKUP(A116,[1]!TOX,15,FALSE))*(VLOOKUP(A116,DWInhale,12,FALSE))), '[1]Target Risk'!$D$12/((VLOOKUP(A116,[1]!TOX,15,FALSE))*(VLOOKUP(A116,DWInhale,11,FALSE)))))</f>
        <v>8.9755078120120929E-2</v>
      </c>
      <c r="O116" s="520">
        <f>IF(OR(VLOOKUP(A116,[1]!TOX,15,FALSE)=0, NOT(VLOOKUP(A116,[1]!TOX,36,FALSE)="M")),0,'[1]Target Risk'!$D$12/(VLOOKUP(A116,[1]!TOX,15,FALSE)*VLOOKUP(A116,DWInhale,12,FALSE)))</f>
        <v>0</v>
      </c>
    </row>
    <row r="117" spans="1:15" x14ac:dyDescent="0.25">
      <c r="A117" s="510" t="s">
        <v>248</v>
      </c>
      <c r="B117" s="511">
        <f>(VLOOKUP(A117,[1]!TOX,54,FALSE))</f>
        <v>1.77E-2</v>
      </c>
      <c r="C117" s="512">
        <f>(VLOOKUP(A117,[1]!TOX,57,FALSE))</f>
        <v>166</v>
      </c>
      <c r="D117" s="513">
        <f>IF(C117=0,0,'GW-1 Exp'!$F$58*(18/C117)^0.5)</f>
        <v>987.8783399072131</v>
      </c>
      <c r="E117" s="514">
        <f>IF(C117=0,0,'GW-1 Exp'!$G$58*(44/C117)^0.5)</f>
        <v>10.296800298419999</v>
      </c>
      <c r="F117" s="514">
        <f>IF(B117*D117=0,0,((1/E117)+(('GW-1 Exp'!$E$58*'GW-1 Exp'!$M$58)/(B117*D117)))^-1)</f>
        <v>10.153149575067577</v>
      </c>
      <c r="G117" s="514">
        <f>F117*(('GW-1 Exp'!$H$58*'GW-1 Exp'!$J$58)/('GW-1 Exp'!$N$58*'GW-1 Exp'!$I$58))^-0.5</f>
        <v>13.714856406043456</v>
      </c>
      <c r="H117" s="514">
        <f>(1-EXP((-1*G117*'GW-1 Exp'!$D$58)/(60*'GW-1 Exp'!$C$58)))</f>
        <v>0.3669221510023819</v>
      </c>
      <c r="I117" s="515">
        <f>H117*'GW-1 Exp'!$P$58/'GW-1 Exp'!$Q$58</f>
        <v>0.61153691833730317</v>
      </c>
      <c r="J117" s="516">
        <f>(('GW-1 Inhale'!$I117)/('GW-1 Exp'!$R$58))*('GW-1 Exp'!$S$48+(EXP(-1*'GW-1 Exp'!$R$58*'GW-1 Exp'!$T$48)/'GW-1 Exp'!$R$58)-(EXP('GW-1 Exp'!$R$58*('GW-1 Exp'!$S$48-'GW-1 Exp'!$T$48))/'GW-1 Exp'!$R$58))*('GW-1 Exp'!$U$48*'GW-1 Exp'!$V$48*'GW-1 Exp'!$W$48*'GW-1 Exp'!$X$48*'GW-1 Exp'!$AB$58/'GW-1 Exp'!$Y$48)</f>
        <v>0.40035596586072764</v>
      </c>
      <c r="K117" s="517">
        <f>(('GW-1 Inhale'!$I117)/('GW-1 Exp'!$R$58))*('GW-1 Exp'!$S$56+(EXP(-1*'GW-1 Exp'!$R$58*'GW-1 Exp'!$T$56)/'GW-1 Exp'!$R$58)-(EXP('GW-1 Exp'!$R$58*('GW-1 Exp'!$S$56-'GW-1 Exp'!$T$56))/'GW-1 Exp'!$R$58))*('GW-1 Exp'!$U$56*'GW-1 Exp'!$V$56*'GW-1 Exp'!$W$56*'GW-1 Exp'!$X$56*'GW-1 Exp'!$AB$58/'GW-1 Exp'!$Y$56)</f>
        <v>0.29414598203540449</v>
      </c>
      <c r="L117" s="517">
        <f xml:space="preserve"> IF(VLOOKUP(A117,[1]!TOX,36,FALSE)="M",((((('GW-1 Inhale'!$I117)/('GW-1 Exp'!$R$63))*('GW-1 Exp'!$S$63+(EXP(-1*'GW-1 Exp'!$R$63*'GW-1 Exp'!$T$63)/'GW-1 Exp'!$R$63)-(EXP('GW-1 Exp'!$R$63*('GW-1 Exp'!$S$63-'GW-1 Exp'!$T$63))/'GW-1 Exp'!$R$63))*('GW-1 Exp'!$U$63*'GW-1 Exp'!$V$63*'GW-1 Exp'!$W$63*'GW-1 Exp'!$X$63*'GW-1 Exp'!$AB$63/'GW-1 Exp'!$Y$63)*10))+(((('GW-1 Inhale'!$I117)/('GW-1 Exp'!$R$64))*('GW-1 Exp'!$S$64+(EXP(-1*'GW-1 Exp'!$R$64*'GW-1 Exp'!$T$64)/'GW-1 Exp'!$R$64)-(EXP('GW-1 Exp'!$R$64*('GW-1 Exp'!$S$64-'GW-1 Exp'!$T$64))/'GW-1 Exp'!$R$64))*('GW-1 Exp'!$U$64*'GW-1 Exp'!$V$64*'GW-1 Exp'!$W$64*'GW-1 Exp'!$X$64*'GW-1 Exp'!$AB$64/'GW-1 Exp'!$Y$64))*3)+(((('GW-1 Inhale'!$I117)/('GW-1 Exp'!$R$65))*('GW-1 Exp'!$S$65+(EXP(-1*'GW-1 Exp'!$R$65*'GW-1 Exp'!$T$65)/'GW-1 Exp'!$R$65)-(EXP('GW-1 Exp'!$R$65*('GW-1 Exp'!$S$65-'GW-1 Exp'!$T$65))/'GW-1 Exp'!$R$65))*('GW-1 Exp'!$U$65*'GW-1 Exp'!$V$65*'GW-1 Exp'!$W$65*'GW-1 Exp'!$X$65*'GW-1 Exp'!$AB$65/'GW-1 Exp'!$Y$65))*3)+(((('GW-1 Inhale'!$I117)/('GW-1 Exp'!$R$66))*('GW-1 Exp'!$S$66+(EXP(-1*'GW-1 Exp'!$R$66*'GW-1 Exp'!$T$66)/'GW-1 Exp'!$R$66)-(EXP('GW-1 Exp'!$R$66*('GW-1 Exp'!$S$66-'GW-1 Exp'!$T$66))/'GW-1 Exp'!$R$66))*('GW-1 Exp'!$U$66*'GW-1 Exp'!$V$66*'GW-1 Exp'!$W$66*'GW-1 Exp'!$X$66*'GW-1 Exp'!$AB$66/'GW-1 Exp'!$Y$66))*1)),0)</f>
        <v>0</v>
      </c>
      <c r="M117" s="518">
        <f>IF(OR((VLOOKUP(A117,[1]!TOX,8,FALSE))=0,J117=0),0,'[1]Target Risk'!$D$8*(VLOOKUP(A117,[1]!TOX,8,FALSE))*'GW-1 Exp'!$Z$58/(VLOOKUP(A117,DWInhale,10,FALSE)))</f>
        <v>19.982217531842576</v>
      </c>
      <c r="N117" s="519">
        <f>IF(OR(K117=0,(VLOOKUP(A117,[1]!TOX,15,FALSE))=0),0,IF(VLOOKUP(A117,[1]!TOX,36,FALSE)="M",'[1]Target Risk'!$D$12/((VLOOKUP(A117,[1]!TOX,15,FALSE))*(VLOOKUP(A117,DWInhale,12,FALSE))), '[1]Target Risk'!$D$12/((VLOOKUP(A117,[1]!TOX,15,FALSE))*(VLOOKUP(A117,DWInhale,11,FALSE)))))</f>
        <v>1.1332241597412407</v>
      </c>
      <c r="O117" s="520">
        <f>IF(OR(VLOOKUP(A117,[1]!TOX,15,FALSE)=0, NOT(VLOOKUP(A117,[1]!TOX,36,FALSE)="M")),0,'[1]Target Risk'!$D$12/(VLOOKUP(A117,[1]!TOX,15,FALSE)*VLOOKUP(A117,DWInhale,12,FALSE)))</f>
        <v>0</v>
      </c>
    </row>
    <row r="118" spans="1:15" x14ac:dyDescent="0.25">
      <c r="A118" s="510" t="s">
        <v>249</v>
      </c>
      <c r="B118" s="511">
        <f>(VLOOKUP(A118,[1]!TOX,54,FALSE))</f>
        <v>0</v>
      </c>
      <c r="C118" s="512">
        <f>(VLOOKUP(A118,[1]!TOX,57,FALSE))</f>
        <v>204</v>
      </c>
      <c r="D118" s="513">
        <f>IF(C118=0,0,'GW-1 Exp'!$F$58*(18/C118)^0.5)</f>
        <v>891.13278867900681</v>
      </c>
      <c r="E118" s="514">
        <f>IF(C118=0,0,'GW-1 Exp'!$G$58*(44/C118)^0.5)</f>
        <v>9.2884072802564805</v>
      </c>
      <c r="F118" s="514">
        <f>IF(B118*D118=0,0,((1/E118)+(('GW-1 Exp'!$E$58*'GW-1 Exp'!$M$58)/(B118*D118)))^-1)</f>
        <v>0</v>
      </c>
      <c r="G118" s="514">
        <f>F118*(('GW-1 Exp'!$H$58*'GW-1 Exp'!$J$58)/('GW-1 Exp'!$N$58*'GW-1 Exp'!$I$58))^-0.5</f>
        <v>0</v>
      </c>
      <c r="H118" s="514">
        <f>(1-EXP((-1*G118*'GW-1 Exp'!$D$58)/(60*'GW-1 Exp'!$C$58)))</f>
        <v>0</v>
      </c>
      <c r="I118" s="515">
        <f>H118*'GW-1 Exp'!$P$58/'GW-1 Exp'!$Q$58</f>
        <v>0</v>
      </c>
      <c r="J118" s="516">
        <f>(('GW-1 Inhale'!$I118)/('GW-1 Exp'!$R$58))*('GW-1 Exp'!$S$48+(EXP(-1*'GW-1 Exp'!$R$58*'GW-1 Exp'!$T$48)/'GW-1 Exp'!$R$58)-(EXP('GW-1 Exp'!$R$58*('GW-1 Exp'!$S$48-'GW-1 Exp'!$T$48))/'GW-1 Exp'!$R$58))*('GW-1 Exp'!$U$48*'GW-1 Exp'!$V$48*'GW-1 Exp'!$W$48*'GW-1 Exp'!$X$48*'GW-1 Exp'!$AB$58/'GW-1 Exp'!$Y$48)</f>
        <v>0</v>
      </c>
      <c r="K118" s="517">
        <f>(('GW-1 Inhale'!$I118)/('GW-1 Exp'!$R$58))*('GW-1 Exp'!$S$56+(EXP(-1*'GW-1 Exp'!$R$58*'GW-1 Exp'!$T$56)/'GW-1 Exp'!$R$58)-(EXP('GW-1 Exp'!$R$58*('GW-1 Exp'!$S$56-'GW-1 Exp'!$T$56))/'GW-1 Exp'!$R$58))*('GW-1 Exp'!$U$56*'GW-1 Exp'!$V$56*'GW-1 Exp'!$W$56*'GW-1 Exp'!$X$56*'GW-1 Exp'!$AB$58/'GW-1 Exp'!$Y$56)</f>
        <v>0</v>
      </c>
      <c r="L118" s="517">
        <f xml:space="preserve"> IF(VLOOKUP(A118,[1]!TOX,36,FALSE)="M",((((('GW-1 Inhale'!$I118)/('GW-1 Exp'!$R$63))*('GW-1 Exp'!$S$63+(EXP(-1*'GW-1 Exp'!$R$63*'GW-1 Exp'!$T$63)/'GW-1 Exp'!$R$63)-(EXP('GW-1 Exp'!$R$63*('GW-1 Exp'!$S$63-'GW-1 Exp'!$T$63))/'GW-1 Exp'!$R$63))*('GW-1 Exp'!$U$63*'GW-1 Exp'!$V$63*'GW-1 Exp'!$W$63*'GW-1 Exp'!$X$63*'GW-1 Exp'!$AB$63/'GW-1 Exp'!$Y$63)*10))+(((('GW-1 Inhale'!$I118)/('GW-1 Exp'!$R$64))*('GW-1 Exp'!$S$64+(EXP(-1*'GW-1 Exp'!$R$64*'GW-1 Exp'!$T$64)/'GW-1 Exp'!$R$64)-(EXP('GW-1 Exp'!$R$64*('GW-1 Exp'!$S$64-'GW-1 Exp'!$T$64))/'GW-1 Exp'!$R$64))*('GW-1 Exp'!$U$64*'GW-1 Exp'!$V$64*'GW-1 Exp'!$W$64*'GW-1 Exp'!$X$64*'GW-1 Exp'!$AB$64/'GW-1 Exp'!$Y$64))*3)+(((('GW-1 Inhale'!$I118)/('GW-1 Exp'!$R$65))*('GW-1 Exp'!$S$65+(EXP(-1*'GW-1 Exp'!$R$65*'GW-1 Exp'!$T$65)/'GW-1 Exp'!$R$65)-(EXP('GW-1 Exp'!$R$65*('GW-1 Exp'!$S$65-'GW-1 Exp'!$T$65))/'GW-1 Exp'!$R$65))*('GW-1 Exp'!$U$65*'GW-1 Exp'!$V$65*'GW-1 Exp'!$W$65*'GW-1 Exp'!$X$65*'GW-1 Exp'!$AB$65/'GW-1 Exp'!$Y$65))*3)+(((('GW-1 Inhale'!$I118)/('GW-1 Exp'!$R$66))*('GW-1 Exp'!$S$66+(EXP(-1*'GW-1 Exp'!$R$66*'GW-1 Exp'!$T$66)/'GW-1 Exp'!$R$66)-(EXP('GW-1 Exp'!$R$66*('GW-1 Exp'!$S$66-'GW-1 Exp'!$T$66))/'GW-1 Exp'!$R$66))*('GW-1 Exp'!$U$66*'GW-1 Exp'!$V$66*'GW-1 Exp'!$W$66*'GW-1 Exp'!$X$66*'GW-1 Exp'!$AB$66/'GW-1 Exp'!$Y$66))*1)),0)</f>
        <v>0</v>
      </c>
      <c r="M118" s="518">
        <f>IF(OR((VLOOKUP(A118,[1]!TOX,8,FALSE))=0,J118=0),0,'[1]Target Risk'!$D$8*(VLOOKUP(A118,[1]!TOX,8,FALSE))*'GW-1 Exp'!$Z$58/(VLOOKUP(A118,DWInhale,10,FALSE)))</f>
        <v>0</v>
      </c>
      <c r="N118" s="519">
        <f>IF(OR(K118=0,(VLOOKUP(A118,[1]!TOX,15,FALSE))=0),0,IF(VLOOKUP(A118,[1]!TOX,36,FALSE)="M",'[1]Target Risk'!$D$12/((VLOOKUP(A118,[1]!TOX,15,FALSE))*(VLOOKUP(A118,DWInhale,12,FALSE))), '[1]Target Risk'!$D$12/((VLOOKUP(A118,[1]!TOX,15,FALSE))*(VLOOKUP(A118,DWInhale,11,FALSE)))))</f>
        <v>0</v>
      </c>
      <c r="O118" s="520">
        <f>IF(OR(VLOOKUP(A118,[1]!TOX,15,FALSE)=0, NOT(VLOOKUP(A118,[1]!TOX,36,FALSE)="M")),0,'[1]Target Risk'!$D$12/(VLOOKUP(A118,[1]!TOX,15,FALSE)*VLOOKUP(A118,DWInhale,12,FALSE)))</f>
        <v>0</v>
      </c>
    </row>
    <row r="119" spans="1:15" x14ac:dyDescent="0.25">
      <c r="A119" s="510" t="s">
        <v>250</v>
      </c>
      <c r="B119" s="511">
        <f>(VLOOKUP(A119,[1]!TOX,54,FALSE))</f>
        <v>6.6400000000000001E-3</v>
      </c>
      <c r="C119" s="512">
        <f>(VLOOKUP(A119,[1]!TOX,57,FALSE))</f>
        <v>92</v>
      </c>
      <c r="D119" s="513">
        <f>IF(C119=0,0,'GW-1 Exp'!$F$58*(18/C119)^0.5)</f>
        <v>1326.9776053940743</v>
      </c>
      <c r="E119" s="514">
        <f>IF(C119=0,0,'GW-1 Exp'!$G$58*(44/C119)^0.5)</f>
        <v>13.831281496162493</v>
      </c>
      <c r="F119" s="514">
        <f>IF(B119*D119=0,0,((1/E119)+(('GW-1 Exp'!$E$58*'GW-1 Exp'!$M$58)/(B119*D119)))^-1)</f>
        <v>13.32859569936554</v>
      </c>
      <c r="G119" s="514">
        <f>F119*(('GW-1 Exp'!$H$58*'GW-1 Exp'!$J$58)/('GW-1 Exp'!$N$58*'GW-1 Exp'!$I$58))^-0.5</f>
        <v>18.004243388661994</v>
      </c>
      <c r="H119" s="514">
        <f>(1-EXP((-1*G119*'GW-1 Exp'!$D$58)/(60*'GW-1 Exp'!$C$58)))</f>
        <v>0.45126598578531985</v>
      </c>
      <c r="I119" s="515">
        <f>H119*'GW-1 Exp'!$P$58/'GW-1 Exp'!$Q$58</f>
        <v>0.75210997630886645</v>
      </c>
      <c r="J119" s="516">
        <f>(('GW-1 Inhale'!$I119)/('GW-1 Exp'!$R$58))*('GW-1 Exp'!$S$48+(EXP(-1*'GW-1 Exp'!$R$58*'GW-1 Exp'!$T$48)/'GW-1 Exp'!$R$58)-(EXP('GW-1 Exp'!$R$58*('GW-1 Exp'!$S$48-'GW-1 Exp'!$T$48))/'GW-1 Exp'!$R$58))*('GW-1 Exp'!$U$48*'GW-1 Exp'!$V$48*'GW-1 Exp'!$W$48*'GW-1 Exp'!$X$48*'GW-1 Exp'!$AB$58/'GW-1 Exp'!$Y$48)</f>
        <v>0.49238518063196002</v>
      </c>
      <c r="K119" s="517">
        <f>(('GW-1 Inhale'!$I119)/('GW-1 Exp'!$R$58))*('GW-1 Exp'!$S$56+(EXP(-1*'GW-1 Exp'!$R$58*'GW-1 Exp'!$T$56)/'GW-1 Exp'!$R$58)-(EXP('GW-1 Exp'!$R$58*('GW-1 Exp'!$S$56-'GW-1 Exp'!$T$56))/'GW-1 Exp'!$R$58))*('GW-1 Exp'!$U$56*'GW-1 Exp'!$V$56*'GW-1 Exp'!$W$56*'GW-1 Exp'!$X$56*'GW-1 Exp'!$AB$58/'GW-1 Exp'!$Y$56)</f>
        <v>0.36176086994305268</v>
      </c>
      <c r="L119" s="517">
        <f xml:space="preserve"> IF(VLOOKUP(A119,[1]!TOX,36,FALSE)="M",((((('GW-1 Inhale'!$I119)/('GW-1 Exp'!$R$63))*('GW-1 Exp'!$S$63+(EXP(-1*'GW-1 Exp'!$R$63*'GW-1 Exp'!$T$63)/'GW-1 Exp'!$R$63)-(EXP('GW-1 Exp'!$R$63*('GW-1 Exp'!$S$63-'GW-1 Exp'!$T$63))/'GW-1 Exp'!$R$63))*('GW-1 Exp'!$U$63*'GW-1 Exp'!$V$63*'GW-1 Exp'!$W$63*'GW-1 Exp'!$X$63*'GW-1 Exp'!$AB$63/'GW-1 Exp'!$Y$63)*10))+(((('GW-1 Inhale'!$I119)/('GW-1 Exp'!$R$64))*('GW-1 Exp'!$S$64+(EXP(-1*'GW-1 Exp'!$R$64*'GW-1 Exp'!$T$64)/'GW-1 Exp'!$R$64)-(EXP('GW-1 Exp'!$R$64*('GW-1 Exp'!$S$64-'GW-1 Exp'!$T$64))/'GW-1 Exp'!$R$64))*('GW-1 Exp'!$U$64*'GW-1 Exp'!$V$64*'GW-1 Exp'!$W$64*'GW-1 Exp'!$X$64*'GW-1 Exp'!$AB$64/'GW-1 Exp'!$Y$64))*3)+(((('GW-1 Inhale'!$I119)/('GW-1 Exp'!$R$65))*('GW-1 Exp'!$S$65+(EXP(-1*'GW-1 Exp'!$R$65*'GW-1 Exp'!$T$65)/'GW-1 Exp'!$R$65)-(EXP('GW-1 Exp'!$R$65*('GW-1 Exp'!$S$65-'GW-1 Exp'!$T$65))/'GW-1 Exp'!$R$65))*('GW-1 Exp'!$U$65*'GW-1 Exp'!$V$65*'GW-1 Exp'!$W$65*'GW-1 Exp'!$X$65*'GW-1 Exp'!$AB$65/'GW-1 Exp'!$Y$65))*3)+(((('GW-1 Inhale'!$I119)/('GW-1 Exp'!$R$66))*('GW-1 Exp'!$S$66+(EXP(-1*'GW-1 Exp'!$R$66*'GW-1 Exp'!$T$66)/'GW-1 Exp'!$R$66)-(EXP('GW-1 Exp'!$R$66*('GW-1 Exp'!$S$66-'GW-1 Exp'!$T$66))/'GW-1 Exp'!$R$66))*('GW-1 Exp'!$U$66*'GW-1 Exp'!$V$66*'GW-1 Exp'!$W$66*'GW-1 Exp'!$X$66*'GW-1 Exp'!$AB$66/'GW-1 Exp'!$Y$66))*1)),0)</f>
        <v>0</v>
      </c>
      <c r="M119" s="518">
        <f>IF(OR((VLOOKUP(A119,[1]!TOX,8,FALSE))=0,J119=0),0,'[1]Target Risk'!$D$8*(VLOOKUP(A119,[1]!TOX,8,FALSE))*'GW-1 Exp'!$Z$58/(VLOOKUP(A119,DWInhale,10,FALSE)))</f>
        <v>2030.9303353048385</v>
      </c>
      <c r="N119" s="519">
        <f>IF(OR(K119=0,(VLOOKUP(A119,[1]!TOX,15,FALSE))=0),0,IF(VLOOKUP(A119,[1]!TOX,36,FALSE)="M",'[1]Target Risk'!$D$12/((VLOOKUP(A119,[1]!TOX,15,FALSE))*(VLOOKUP(A119,DWInhale,12,FALSE))), '[1]Target Risk'!$D$12/((VLOOKUP(A119,[1]!TOX,15,FALSE))*(VLOOKUP(A119,DWInhale,11,FALSE)))))</f>
        <v>0</v>
      </c>
      <c r="O119" s="520">
        <f>IF(OR(VLOOKUP(A119,[1]!TOX,15,FALSE)=0, NOT(VLOOKUP(A119,[1]!TOX,36,FALSE)="M")),0,'[1]Target Risk'!$D$12/(VLOOKUP(A119,[1]!TOX,15,FALSE)*VLOOKUP(A119,DWInhale,12,FALSE)))</f>
        <v>0</v>
      </c>
    </row>
    <row r="120" spans="1:15" x14ac:dyDescent="0.25">
      <c r="A120" s="510" t="s">
        <v>251</v>
      </c>
      <c r="B120" s="511">
        <f>(VLOOKUP(A120,[1]!TOX,54,FALSE))</f>
        <v>1.42E-3</v>
      </c>
      <c r="C120" s="512">
        <f>(VLOOKUP(A120,[1]!TOX,57,FALSE))</f>
        <v>181</v>
      </c>
      <c r="D120" s="513">
        <f>IF(C120=0,0,'GW-1 Exp'!$F$58*(18/C120)^0.5)</f>
        <v>946.05899620974606</v>
      </c>
      <c r="E120" s="514">
        <f>IF(C120=0,0,'GW-1 Exp'!$G$58*(44/C120)^0.5)</f>
        <v>9.8609111678776156</v>
      </c>
      <c r="F120" s="514">
        <f>IF(B120*D120=0,0,((1/E120)+(('GW-1 Exp'!$E$58*'GW-1 Exp'!$M$58)/(B120*D120)))^-1)</f>
        <v>8.3825859940718352</v>
      </c>
      <c r="G120" s="514">
        <f>F120*(('GW-1 Exp'!$H$58*'GW-1 Exp'!$J$58)/('GW-1 Exp'!$N$58*'GW-1 Exp'!$I$58))^-0.5</f>
        <v>11.323182266744167</v>
      </c>
      <c r="H120" s="514">
        <f>(1-EXP((-1*G120*'GW-1 Exp'!$D$58)/(60*'GW-1 Exp'!$C$58)))</f>
        <v>0.31438525751695401</v>
      </c>
      <c r="I120" s="515">
        <f>H120*'GW-1 Exp'!$P$58/'GW-1 Exp'!$Q$58</f>
        <v>0.52397542919492335</v>
      </c>
      <c r="J120" s="516">
        <f>(('GW-1 Inhale'!$I120)/('GW-1 Exp'!$R$58))*('GW-1 Exp'!$S$48+(EXP(-1*'GW-1 Exp'!$R$58*'GW-1 Exp'!$T$48)/'GW-1 Exp'!$R$58)-(EXP('GW-1 Exp'!$R$58*('GW-1 Exp'!$S$48-'GW-1 Exp'!$T$48))/'GW-1 Exp'!$R$58))*('GW-1 Exp'!$U$48*'GW-1 Exp'!$V$48*'GW-1 Exp'!$W$48*'GW-1 Exp'!$X$48*'GW-1 Exp'!$AB$58/'GW-1 Exp'!$Y$48)</f>
        <v>0.34303192947529798</v>
      </c>
      <c r="K120" s="517">
        <f>(('GW-1 Inhale'!$I120)/('GW-1 Exp'!$R$58))*('GW-1 Exp'!$S$56+(EXP(-1*'GW-1 Exp'!$R$58*'GW-1 Exp'!$T$56)/'GW-1 Exp'!$R$58)-(EXP('GW-1 Exp'!$R$58*('GW-1 Exp'!$S$56-'GW-1 Exp'!$T$56))/'GW-1 Exp'!$R$58))*('GW-1 Exp'!$U$56*'GW-1 Exp'!$V$56*'GW-1 Exp'!$W$56*'GW-1 Exp'!$X$56*'GW-1 Exp'!$AB$58/'GW-1 Exp'!$Y$56)</f>
        <v>0.25202937477922299</v>
      </c>
      <c r="L120" s="517">
        <f xml:space="preserve"> IF(VLOOKUP(A120,[1]!TOX,36,FALSE)="M",((((('GW-1 Inhale'!$I120)/('GW-1 Exp'!$R$63))*('GW-1 Exp'!$S$63+(EXP(-1*'GW-1 Exp'!$R$63*'GW-1 Exp'!$T$63)/'GW-1 Exp'!$R$63)-(EXP('GW-1 Exp'!$R$63*('GW-1 Exp'!$S$63-'GW-1 Exp'!$T$63))/'GW-1 Exp'!$R$63))*('GW-1 Exp'!$U$63*'GW-1 Exp'!$V$63*'GW-1 Exp'!$W$63*'GW-1 Exp'!$X$63*'GW-1 Exp'!$AB$63/'GW-1 Exp'!$Y$63)*10))+(((('GW-1 Inhale'!$I120)/('GW-1 Exp'!$R$64))*('GW-1 Exp'!$S$64+(EXP(-1*'GW-1 Exp'!$R$64*'GW-1 Exp'!$T$64)/'GW-1 Exp'!$R$64)-(EXP('GW-1 Exp'!$R$64*('GW-1 Exp'!$S$64-'GW-1 Exp'!$T$64))/'GW-1 Exp'!$R$64))*('GW-1 Exp'!$U$64*'GW-1 Exp'!$V$64*'GW-1 Exp'!$W$64*'GW-1 Exp'!$X$64*'GW-1 Exp'!$AB$64/'GW-1 Exp'!$Y$64))*3)+(((('GW-1 Inhale'!$I120)/('GW-1 Exp'!$R$65))*('GW-1 Exp'!$S$65+(EXP(-1*'GW-1 Exp'!$R$65*'GW-1 Exp'!$T$65)/'GW-1 Exp'!$R$65)-(EXP('GW-1 Exp'!$R$65*('GW-1 Exp'!$S$65-'GW-1 Exp'!$T$65))/'GW-1 Exp'!$R$65))*('GW-1 Exp'!$U$65*'GW-1 Exp'!$V$65*'GW-1 Exp'!$W$65*'GW-1 Exp'!$X$65*'GW-1 Exp'!$AB$65/'GW-1 Exp'!$Y$65))*3)+(((('GW-1 Inhale'!$I120)/('GW-1 Exp'!$R$66))*('GW-1 Exp'!$S$66+(EXP(-1*'GW-1 Exp'!$R$66*'GW-1 Exp'!$T$66)/'GW-1 Exp'!$R$66)-(EXP('GW-1 Exp'!$R$66*('GW-1 Exp'!$S$66-'GW-1 Exp'!$T$66))/'GW-1 Exp'!$R$66))*('GW-1 Exp'!$U$66*'GW-1 Exp'!$V$66*'GW-1 Exp'!$W$66*'GW-1 Exp'!$X$66*'GW-1 Exp'!$AB$66/'GW-1 Exp'!$Y$66))*1)),0)</f>
        <v>0</v>
      </c>
      <c r="M120" s="518">
        <f>IF(OR((VLOOKUP(A120,[1]!TOX,8,FALSE))=0,J120=0),0,'[1]Target Risk'!$D$8*(VLOOKUP(A120,[1]!TOX,8,FALSE))*'GW-1 Exp'!$Z$58/(VLOOKUP(A120,DWInhale,10,FALSE)))</f>
        <v>1.1660722096973319</v>
      </c>
      <c r="N120" s="519">
        <f>IF(OR(K120=0,(VLOOKUP(A120,[1]!TOX,15,FALSE))=0),0,IF(VLOOKUP(A120,[1]!TOX,36,FALSE)="M",'[1]Target Risk'!$D$12/((VLOOKUP(A120,[1]!TOX,15,FALSE))*(VLOOKUP(A120,DWInhale,12,FALSE))), '[1]Target Risk'!$D$12/((VLOOKUP(A120,[1]!TOX,15,FALSE))*(VLOOKUP(A120,DWInhale,11,FALSE)))))</f>
        <v>0</v>
      </c>
      <c r="O120" s="520">
        <f>IF(OR(VLOOKUP(A120,[1]!TOX,15,FALSE)=0, NOT(VLOOKUP(A120,[1]!TOX,36,FALSE)="M")),0,'[1]Target Risk'!$D$12/(VLOOKUP(A120,[1]!TOX,15,FALSE)*VLOOKUP(A120,DWInhale,12,FALSE)))</f>
        <v>0</v>
      </c>
    </row>
    <row r="121" spans="1:15" x14ac:dyDescent="0.25">
      <c r="A121" s="510" t="s">
        <v>252</v>
      </c>
      <c r="B121" s="511">
        <f>(VLOOKUP(A121,[1]!TOX,54,FALSE))</f>
        <v>1.72E-2</v>
      </c>
      <c r="C121" s="512">
        <f>(VLOOKUP(A121,[1]!TOX,57,FALSE))</f>
        <v>133</v>
      </c>
      <c r="D121" s="513">
        <f>IF(C121=0,0,'GW-1 Exp'!$F$58*(18/C121)^0.5)</f>
        <v>1103.6508110729385</v>
      </c>
      <c r="E121" s="514">
        <f>IF(C121=0,0,'GW-1 Exp'!$G$58*(44/C121)^0.5)</f>
        <v>11.503513683552047</v>
      </c>
      <c r="F121" s="514">
        <f>IF(B121*D121=0,0,((1/E121)+(('GW-1 Exp'!$E$58*'GW-1 Exp'!$M$58)/(B121*D121)))^-1)</f>
        <v>11.338429765894963</v>
      </c>
      <c r="G121" s="514">
        <f>F121*(('GW-1 Exp'!$H$58*'GW-1 Exp'!$J$58)/('GW-1 Exp'!$N$58*'GW-1 Exp'!$I$58))^-0.5</f>
        <v>15.315930781825731</v>
      </c>
      <c r="H121" s="514">
        <f>(1-EXP((-1*G121*'GW-1 Exp'!$D$58)/(60*'GW-1 Exp'!$C$58)))</f>
        <v>0.3998232153380209</v>
      </c>
      <c r="I121" s="515">
        <f>H121*'GW-1 Exp'!$P$58/'GW-1 Exp'!$Q$58</f>
        <v>0.66637202556336816</v>
      </c>
      <c r="J121" s="516">
        <f>(('GW-1 Inhale'!$I121)/('GW-1 Exp'!$R$58))*('GW-1 Exp'!$S$48+(EXP(-1*'GW-1 Exp'!$R$58*'GW-1 Exp'!$T$48)/'GW-1 Exp'!$R$58)-(EXP('GW-1 Exp'!$R$58*('GW-1 Exp'!$S$48-'GW-1 Exp'!$T$48))/'GW-1 Exp'!$R$58))*('GW-1 Exp'!$U$48*'GW-1 Exp'!$V$48*'GW-1 Exp'!$W$48*'GW-1 Exp'!$X$48*'GW-1 Exp'!$AB$58/'GW-1 Exp'!$Y$48)</f>
        <v>0.43625496338365227</v>
      </c>
      <c r="K121" s="517">
        <f>(('GW-1 Inhale'!$I121)/('GW-1 Exp'!$R$58))*('GW-1 Exp'!$S$56+(EXP(-1*'GW-1 Exp'!$R$58*'GW-1 Exp'!$T$56)/'GW-1 Exp'!$R$58)-(EXP('GW-1 Exp'!$R$58*('GW-1 Exp'!$S$56-'GW-1 Exp'!$T$56))/'GW-1 Exp'!$R$58))*('GW-1 Exp'!$U$56*'GW-1 Exp'!$V$56*'GW-1 Exp'!$W$56*'GW-1 Exp'!$X$56*'GW-1 Exp'!$AB$58/'GW-1 Exp'!$Y$56)</f>
        <v>0.32052137488802546</v>
      </c>
      <c r="L121" s="517">
        <f xml:space="preserve"> IF(VLOOKUP(A121,[1]!TOX,36,FALSE)="M",((((('GW-1 Inhale'!$I121)/('GW-1 Exp'!$R$63))*('GW-1 Exp'!$S$63+(EXP(-1*'GW-1 Exp'!$R$63*'GW-1 Exp'!$T$63)/'GW-1 Exp'!$R$63)-(EXP('GW-1 Exp'!$R$63*('GW-1 Exp'!$S$63-'GW-1 Exp'!$T$63))/'GW-1 Exp'!$R$63))*('GW-1 Exp'!$U$63*'GW-1 Exp'!$V$63*'GW-1 Exp'!$W$63*'GW-1 Exp'!$X$63*'GW-1 Exp'!$AB$63/'GW-1 Exp'!$Y$63)*10))+(((('GW-1 Inhale'!$I121)/('GW-1 Exp'!$R$64))*('GW-1 Exp'!$S$64+(EXP(-1*'GW-1 Exp'!$R$64*'GW-1 Exp'!$T$64)/'GW-1 Exp'!$R$64)-(EXP('GW-1 Exp'!$R$64*('GW-1 Exp'!$S$64-'GW-1 Exp'!$T$64))/'GW-1 Exp'!$R$64))*('GW-1 Exp'!$U$64*'GW-1 Exp'!$V$64*'GW-1 Exp'!$W$64*'GW-1 Exp'!$X$64*'GW-1 Exp'!$AB$64/'GW-1 Exp'!$Y$64))*3)+(((('GW-1 Inhale'!$I121)/('GW-1 Exp'!$R$65))*('GW-1 Exp'!$S$65+(EXP(-1*'GW-1 Exp'!$R$65*'GW-1 Exp'!$T$65)/'GW-1 Exp'!$R$65)-(EXP('GW-1 Exp'!$R$65*('GW-1 Exp'!$S$65-'GW-1 Exp'!$T$65))/'GW-1 Exp'!$R$65))*('GW-1 Exp'!$U$65*'GW-1 Exp'!$V$65*'GW-1 Exp'!$W$65*'GW-1 Exp'!$X$65*'GW-1 Exp'!$AB$65/'GW-1 Exp'!$Y$65))*3)+(((('GW-1 Inhale'!$I121)/('GW-1 Exp'!$R$66))*('GW-1 Exp'!$S$66+(EXP(-1*'GW-1 Exp'!$R$66*'GW-1 Exp'!$T$66)/'GW-1 Exp'!$R$66)-(EXP('GW-1 Exp'!$R$66*('GW-1 Exp'!$S$66-'GW-1 Exp'!$T$66))/'GW-1 Exp'!$R$66))*('GW-1 Exp'!$U$66*'GW-1 Exp'!$V$66*'GW-1 Exp'!$W$66*'GW-1 Exp'!$X$66*'GW-1 Exp'!$AB$66/'GW-1 Exp'!$Y$66))*1)),0)</f>
        <v>0</v>
      </c>
      <c r="M121" s="518">
        <f>IF(OR((VLOOKUP(A121,[1]!TOX,8,FALSE))=0,J121=0),0,'[1]Target Risk'!$D$8*(VLOOKUP(A121,[1]!TOX,8,FALSE))*'GW-1 Exp'!$Z$58/(VLOOKUP(A121,DWInhale,10,FALSE)))</f>
        <v>2292.2375306491995</v>
      </c>
      <c r="N121" s="519">
        <f>IF(OR(K121=0,(VLOOKUP(A121,[1]!TOX,15,FALSE))=0),0,IF(VLOOKUP(A121,[1]!TOX,36,FALSE)="M",'[1]Target Risk'!$D$12/((VLOOKUP(A121,[1]!TOX,15,FALSE))*(VLOOKUP(A121,DWInhale,12,FALSE))), '[1]Target Risk'!$D$12/((VLOOKUP(A121,[1]!TOX,15,FALSE))*(VLOOKUP(A121,DWInhale,11,FALSE)))))</f>
        <v>0</v>
      </c>
      <c r="O121" s="520">
        <f>IF(OR(VLOOKUP(A121,[1]!TOX,15,FALSE)=0, NOT(VLOOKUP(A121,[1]!TOX,36,FALSE)="M")),0,'[1]Target Risk'!$D$12/(VLOOKUP(A121,[1]!TOX,15,FALSE)*VLOOKUP(A121,DWInhale,12,FALSE)))</f>
        <v>0</v>
      </c>
    </row>
    <row r="122" spans="1:15" x14ac:dyDescent="0.25">
      <c r="A122" s="510" t="s">
        <v>253</v>
      </c>
      <c r="B122" s="511">
        <f>(VLOOKUP(A122,[1]!TOX,54,FALSE))</f>
        <v>8.2399999999999997E-4</v>
      </c>
      <c r="C122" s="512">
        <f>(VLOOKUP(A122,[1]!TOX,57,FALSE))</f>
        <v>133</v>
      </c>
      <c r="D122" s="513">
        <f>IF(C122=0,0,'GW-1 Exp'!$F$58*(18/C122)^0.5)</f>
        <v>1103.6508110729385</v>
      </c>
      <c r="E122" s="514">
        <f>IF(C122=0,0,'GW-1 Exp'!$G$58*(44/C122)^0.5)</f>
        <v>11.503513683552047</v>
      </c>
      <c r="F122" s="514">
        <f>IF(B122*D122=0,0,((1/E122)+(('GW-1 Exp'!$E$58*'GW-1 Exp'!$M$58)/(B122*D122)))^-1)</f>
        <v>8.8222835121194514</v>
      </c>
      <c r="G122" s="514">
        <f>F122*(('GW-1 Exp'!$H$58*'GW-1 Exp'!$J$58)/('GW-1 Exp'!$N$58*'GW-1 Exp'!$I$58))^-0.5</f>
        <v>11.917124892875195</v>
      </c>
      <c r="H122" s="514">
        <f>(1-EXP((-1*G122*'GW-1 Exp'!$D$58)/(60*'GW-1 Exp'!$C$58)))</f>
        <v>0.32782563233779272</v>
      </c>
      <c r="I122" s="515">
        <f>H122*'GW-1 Exp'!$P$58/'GW-1 Exp'!$Q$58</f>
        <v>0.54637605389632116</v>
      </c>
      <c r="J122" s="516">
        <f>(('GW-1 Inhale'!$I122)/('GW-1 Exp'!$R$58))*('GW-1 Exp'!$S$48+(EXP(-1*'GW-1 Exp'!$R$58*'GW-1 Exp'!$T$48)/'GW-1 Exp'!$R$58)-(EXP('GW-1 Exp'!$R$58*('GW-1 Exp'!$S$48-'GW-1 Exp'!$T$48))/'GW-1 Exp'!$R$58))*('GW-1 Exp'!$U$48*'GW-1 Exp'!$V$48*'GW-1 Exp'!$W$48*'GW-1 Exp'!$X$48*'GW-1 Exp'!$AB$58/'GW-1 Exp'!$Y$48)</f>
        <v>0.35769698643145909</v>
      </c>
      <c r="K122" s="517">
        <f>(('GW-1 Inhale'!$I122)/('GW-1 Exp'!$R$58))*('GW-1 Exp'!$S$56+(EXP(-1*'GW-1 Exp'!$R$58*'GW-1 Exp'!$T$56)/'GW-1 Exp'!$R$58)-(EXP('GW-1 Exp'!$R$58*('GW-1 Exp'!$S$56-'GW-1 Exp'!$T$56))/'GW-1 Exp'!$R$58))*('GW-1 Exp'!$U$56*'GW-1 Exp'!$V$56*'GW-1 Exp'!$W$56*'GW-1 Exp'!$X$56*'GW-1 Exp'!$AB$58/'GW-1 Exp'!$Y$56)</f>
        <v>0.26280395527211303</v>
      </c>
      <c r="L122" s="517">
        <f xml:space="preserve"> IF(VLOOKUP(A122,[1]!TOX,36,FALSE)="M",((((('GW-1 Inhale'!$I122)/('GW-1 Exp'!$R$63))*('GW-1 Exp'!$S$63+(EXP(-1*'GW-1 Exp'!$R$63*'GW-1 Exp'!$T$63)/'GW-1 Exp'!$R$63)-(EXP('GW-1 Exp'!$R$63*('GW-1 Exp'!$S$63-'GW-1 Exp'!$T$63))/'GW-1 Exp'!$R$63))*('GW-1 Exp'!$U$63*'GW-1 Exp'!$V$63*'GW-1 Exp'!$W$63*'GW-1 Exp'!$X$63*'GW-1 Exp'!$AB$63/'GW-1 Exp'!$Y$63)*10))+(((('GW-1 Inhale'!$I122)/('GW-1 Exp'!$R$64))*('GW-1 Exp'!$S$64+(EXP(-1*'GW-1 Exp'!$R$64*'GW-1 Exp'!$T$64)/'GW-1 Exp'!$R$64)-(EXP('GW-1 Exp'!$R$64*('GW-1 Exp'!$S$64-'GW-1 Exp'!$T$64))/'GW-1 Exp'!$R$64))*('GW-1 Exp'!$U$64*'GW-1 Exp'!$V$64*'GW-1 Exp'!$W$64*'GW-1 Exp'!$X$64*'GW-1 Exp'!$AB$64/'GW-1 Exp'!$Y$64))*3)+(((('GW-1 Inhale'!$I122)/('GW-1 Exp'!$R$65))*('GW-1 Exp'!$S$65+(EXP(-1*'GW-1 Exp'!$R$65*'GW-1 Exp'!$T$65)/'GW-1 Exp'!$R$65)-(EXP('GW-1 Exp'!$R$65*('GW-1 Exp'!$S$65-'GW-1 Exp'!$T$65))/'GW-1 Exp'!$R$65))*('GW-1 Exp'!$U$65*'GW-1 Exp'!$V$65*'GW-1 Exp'!$W$65*'GW-1 Exp'!$X$65*'GW-1 Exp'!$AB$65/'GW-1 Exp'!$Y$65))*3)+(((('GW-1 Inhale'!$I122)/('GW-1 Exp'!$R$66))*('GW-1 Exp'!$S$66+(EXP(-1*'GW-1 Exp'!$R$66*'GW-1 Exp'!$T$66)/'GW-1 Exp'!$R$66)-(EXP('GW-1 Exp'!$R$66*('GW-1 Exp'!$S$66-'GW-1 Exp'!$T$66))/'GW-1 Exp'!$R$66))*('GW-1 Exp'!$U$66*'GW-1 Exp'!$V$66*'GW-1 Exp'!$W$66*'GW-1 Exp'!$X$66*'GW-1 Exp'!$AB$66/'GW-1 Exp'!$Y$66))*1)),0)</f>
        <v>0</v>
      </c>
      <c r="M122" s="518">
        <f>IF(OR((VLOOKUP(A122,[1]!TOX,8,FALSE))=0,J122=0),0,'[1]Target Risk'!$D$8*(VLOOKUP(A122,[1]!TOX,8,FALSE))*'GW-1 Exp'!$Z$58/(VLOOKUP(A122,DWInhale,10,FALSE)))</f>
        <v>41.375802876203252</v>
      </c>
      <c r="N122" s="519">
        <f>IF(OR(K122=0,(VLOOKUP(A122,[1]!TOX,15,FALSE))=0),0,IF(VLOOKUP(A122,[1]!TOX,36,FALSE)="M",'[1]Target Risk'!$D$12/((VLOOKUP(A122,[1]!TOX,15,FALSE))*(VLOOKUP(A122,DWInhale,12,FALSE))), '[1]Target Risk'!$D$12/((VLOOKUP(A122,[1]!TOX,15,FALSE))*(VLOOKUP(A122,DWInhale,11,FALSE)))))</f>
        <v>0.23781986056977764</v>
      </c>
      <c r="O122" s="520">
        <f>IF(OR(VLOOKUP(A122,[1]!TOX,15,FALSE)=0, NOT(VLOOKUP(A122,[1]!TOX,36,FALSE)="M")),0,'[1]Target Risk'!$D$12/(VLOOKUP(A122,[1]!TOX,15,FALSE)*VLOOKUP(A122,DWInhale,12,FALSE)))</f>
        <v>0</v>
      </c>
    </row>
    <row r="123" spans="1:15" x14ac:dyDescent="0.25">
      <c r="A123" s="510" t="s">
        <v>254</v>
      </c>
      <c r="B123" s="511">
        <f>(VLOOKUP(A123,[1]!TOX,54,FALSE))</f>
        <v>9.8499999999999994E-3</v>
      </c>
      <c r="C123" s="512">
        <f>(VLOOKUP(A123,[1]!TOX,57,FALSE))</f>
        <v>131</v>
      </c>
      <c r="D123" s="513">
        <f>IF(C123=0,0,'GW-1 Exp'!$F$58*(18/C123)^0.5)</f>
        <v>1112.0437137873878</v>
      </c>
      <c r="E123" s="514">
        <f>IF(C123=0,0,'GW-1 Exp'!$G$58*(44/C123)^0.5)</f>
        <v>11.590994135024308</v>
      </c>
      <c r="F123" s="514">
        <f>IF(B123*D123=0,0,((1/E123)+(('GW-1 Exp'!$E$58*'GW-1 Exp'!$M$58)/(B123*D123)))^-1)</f>
        <v>11.303611003789744</v>
      </c>
      <c r="G123" s="514">
        <f>F123*(('GW-1 Exp'!$H$58*'GW-1 Exp'!$J$58)/('GW-1 Exp'!$N$58*'GW-1 Exp'!$I$58))^-0.5</f>
        <v>15.268897659839435</v>
      </c>
      <c r="H123" s="514">
        <f>(1-EXP((-1*G123*'GW-1 Exp'!$D$58)/(60*'GW-1 Exp'!$C$58)))</f>
        <v>0.39888153776608681</v>
      </c>
      <c r="I123" s="515">
        <f>H123*'GW-1 Exp'!$P$58/'GW-1 Exp'!$Q$58</f>
        <v>0.66480256294347806</v>
      </c>
      <c r="J123" s="516">
        <f>(('GW-1 Inhale'!$I123)/('GW-1 Exp'!$R$58))*('GW-1 Exp'!$S$48+(EXP(-1*'GW-1 Exp'!$R$58*'GW-1 Exp'!$T$48)/'GW-1 Exp'!$R$58)-(EXP('GW-1 Exp'!$R$58*('GW-1 Exp'!$S$48-'GW-1 Exp'!$T$48))/'GW-1 Exp'!$R$58))*('GW-1 Exp'!$U$48*'GW-1 Exp'!$V$48*'GW-1 Exp'!$W$48*'GW-1 Exp'!$X$48*'GW-1 Exp'!$AB$58/'GW-1 Exp'!$Y$48)</f>
        <v>0.43522748048895343</v>
      </c>
      <c r="K123" s="517">
        <f>(('GW-1 Inhale'!$I123)/('GW-1 Exp'!$R$58))*('GW-1 Exp'!$S$56+(EXP(-1*'GW-1 Exp'!$R$58*'GW-1 Exp'!$T$56)/'GW-1 Exp'!$R$58)-(EXP('GW-1 Exp'!$R$58*('GW-1 Exp'!$S$56-'GW-1 Exp'!$T$56))/'GW-1 Exp'!$R$58))*('GW-1 Exp'!$U$56*'GW-1 Exp'!$V$56*'GW-1 Exp'!$W$56*'GW-1 Exp'!$X$56*'GW-1 Exp'!$AB$58/'GW-1 Exp'!$Y$56)</f>
        <v>0.31976647177465239</v>
      </c>
      <c r="L123" s="517">
        <f xml:space="preserve"> IF(VLOOKUP(A123,[1]!TOX,36,FALSE)="M",((((('GW-1 Inhale'!$I123)/('GW-1 Exp'!$R$63))*('GW-1 Exp'!$S$63+(EXP(-1*'GW-1 Exp'!$R$63*'GW-1 Exp'!$T$63)/'GW-1 Exp'!$R$63)-(EXP('GW-1 Exp'!$R$63*('GW-1 Exp'!$S$63-'GW-1 Exp'!$T$63))/'GW-1 Exp'!$R$63))*('GW-1 Exp'!$U$63*'GW-1 Exp'!$V$63*'GW-1 Exp'!$W$63*'GW-1 Exp'!$X$63*'GW-1 Exp'!$AB$63/'GW-1 Exp'!$Y$63)*10))+(((('GW-1 Inhale'!$I123)/('GW-1 Exp'!$R$64))*('GW-1 Exp'!$S$64+(EXP(-1*'GW-1 Exp'!$R$64*'GW-1 Exp'!$T$64)/'GW-1 Exp'!$R$64)-(EXP('GW-1 Exp'!$R$64*('GW-1 Exp'!$S$64-'GW-1 Exp'!$T$64))/'GW-1 Exp'!$R$64))*('GW-1 Exp'!$U$64*'GW-1 Exp'!$V$64*'GW-1 Exp'!$W$64*'GW-1 Exp'!$X$64*'GW-1 Exp'!$AB$64/'GW-1 Exp'!$Y$64))*3)+(((('GW-1 Inhale'!$I123)/('GW-1 Exp'!$R$65))*('GW-1 Exp'!$S$65+(EXP(-1*'GW-1 Exp'!$R$65*'GW-1 Exp'!$T$65)/'GW-1 Exp'!$R$65)-(EXP('GW-1 Exp'!$R$65*('GW-1 Exp'!$S$65-'GW-1 Exp'!$T$65))/'GW-1 Exp'!$R$65))*('GW-1 Exp'!$U$65*'GW-1 Exp'!$V$65*'GW-1 Exp'!$W$65*'GW-1 Exp'!$X$65*'GW-1 Exp'!$AB$65/'GW-1 Exp'!$Y$65))*3)+(((('GW-1 Inhale'!$I123)/('GW-1 Exp'!$R$66))*('GW-1 Exp'!$S$66+(EXP(-1*'GW-1 Exp'!$R$66*'GW-1 Exp'!$T$66)/'GW-1 Exp'!$R$66)-(EXP('GW-1 Exp'!$R$66*('GW-1 Exp'!$S$66-'GW-1 Exp'!$T$66))/'GW-1 Exp'!$R$66))*('GW-1 Exp'!$U$66*'GW-1 Exp'!$V$66*'GW-1 Exp'!$W$66*'GW-1 Exp'!$X$66*'GW-1 Exp'!$AB$66/'GW-1 Exp'!$Y$66))*1)),0)</f>
        <v>0.6736158343109595</v>
      </c>
      <c r="M123" s="523">
        <f>IF(OR((VLOOKUP(A123,[1]!TOX,8,FALSE))=0,J123=0),0,'[1]Target Risk'!$D$8*(VLOOKUP(A123,[1]!TOX,8,FALSE))*'GW-1 Exp'!$Z$58/(VLOOKUP(A123,DWInhale,10,FALSE)))</f>
        <v>0.91905961349366694</v>
      </c>
      <c r="N123" s="519">
        <f>'GW-1 VC &amp; TCE'!D15</f>
        <v>0.60063959823133839</v>
      </c>
      <c r="O123" s="520"/>
    </row>
    <row r="124" spans="1:15" x14ac:dyDescent="0.25">
      <c r="A124" s="510" t="s">
        <v>255</v>
      </c>
      <c r="B124" s="511">
        <f>(VLOOKUP(A124,[1]!TOX,54,FALSE))</f>
        <v>1.6199999999999999E-6</v>
      </c>
      <c r="C124" s="512">
        <f>(VLOOKUP(A124,[1]!TOX,57,FALSE))</f>
        <v>197</v>
      </c>
      <c r="D124" s="513">
        <f>IF(C124=0,0,'GW-1 Exp'!$F$58*(18/C124)^0.5)</f>
        <v>906.82689934778114</v>
      </c>
      <c r="E124" s="514">
        <f>IF(C124=0,0,'GW-1 Exp'!$G$58*(44/C124)^0.5)</f>
        <v>9.4519892891836612</v>
      </c>
      <c r="F124" s="514">
        <f>IF(B124*D124=0,0,((1/E124)+(('GW-1 Exp'!$E$58*'GW-1 Exp'!$M$58)/(B124*D124)))^-1)</f>
        <v>6.0751576008071809E-2</v>
      </c>
      <c r="G124" s="514">
        <f>F124*(('GW-1 Exp'!$H$58*'GW-1 Exp'!$J$58)/('GW-1 Exp'!$N$58*'GW-1 Exp'!$I$58))^-0.5</f>
        <v>8.2063120929250569E-2</v>
      </c>
      <c r="H124" s="514">
        <f>(1-EXP((-1*G124*'GW-1 Exp'!$D$58)/(60*'GW-1 Exp'!$C$58)))</f>
        <v>2.7316994645616433E-3</v>
      </c>
      <c r="I124" s="515">
        <f>H124*'GW-1 Exp'!$P$58/'GW-1 Exp'!$Q$58</f>
        <v>4.5528324409360721E-3</v>
      </c>
      <c r="J124" s="516">
        <f>(('GW-1 Inhale'!$I124)/('GW-1 Exp'!$R$58))*('GW-1 Exp'!$S$48+(EXP(-1*'GW-1 Exp'!$R$58*'GW-1 Exp'!$T$48)/'GW-1 Exp'!$R$58)-(EXP('GW-1 Exp'!$R$58*('GW-1 Exp'!$S$48-'GW-1 Exp'!$T$48))/'GW-1 Exp'!$R$58))*('GW-1 Exp'!$U$48*'GW-1 Exp'!$V$48*'GW-1 Exp'!$W$48*'GW-1 Exp'!$X$48*'GW-1 Exp'!$AB$58/'GW-1 Exp'!$Y$48)</f>
        <v>2.9806109404627076E-3</v>
      </c>
      <c r="K124" s="517">
        <f>(('GW-1 Inhale'!$I124)/('GW-1 Exp'!$R$58))*('GW-1 Exp'!$S$56+(EXP(-1*'GW-1 Exp'!$R$58*'GW-1 Exp'!$T$56)/'GW-1 Exp'!$R$58)-(EXP('GW-1 Exp'!$R$58*('GW-1 Exp'!$S$56-'GW-1 Exp'!$T$56))/'GW-1 Exp'!$R$58))*('GW-1 Exp'!$U$56*'GW-1 Exp'!$V$56*'GW-1 Exp'!$W$56*'GW-1 Exp'!$X$56*'GW-1 Exp'!$AB$58/'GW-1 Exp'!$Y$56)</f>
        <v>2.1898880169375682E-3</v>
      </c>
      <c r="L124" s="517">
        <f xml:space="preserve"> IF(VLOOKUP(A124,[1]!TOX,36,FALSE)="M",((((('GW-1 Inhale'!$I124)/('GW-1 Exp'!$R$63))*('GW-1 Exp'!$S$63+(EXP(-1*'GW-1 Exp'!$R$63*'GW-1 Exp'!$T$63)/'GW-1 Exp'!$R$63)-(EXP('GW-1 Exp'!$R$63*('GW-1 Exp'!$S$63-'GW-1 Exp'!$T$63))/'GW-1 Exp'!$R$63))*('GW-1 Exp'!$U$63*'GW-1 Exp'!$V$63*'GW-1 Exp'!$W$63*'GW-1 Exp'!$X$63*'GW-1 Exp'!$AB$63/'GW-1 Exp'!$Y$63)*10))+(((('GW-1 Inhale'!$I124)/('GW-1 Exp'!$R$64))*('GW-1 Exp'!$S$64+(EXP(-1*'GW-1 Exp'!$R$64*'GW-1 Exp'!$T$64)/'GW-1 Exp'!$R$64)-(EXP('GW-1 Exp'!$R$64*('GW-1 Exp'!$S$64-'GW-1 Exp'!$T$64))/'GW-1 Exp'!$R$64))*('GW-1 Exp'!$U$64*'GW-1 Exp'!$V$64*'GW-1 Exp'!$W$64*'GW-1 Exp'!$X$64*'GW-1 Exp'!$AB$64/'GW-1 Exp'!$Y$64))*3)+(((('GW-1 Inhale'!$I124)/('GW-1 Exp'!$R$65))*('GW-1 Exp'!$S$65+(EXP(-1*'GW-1 Exp'!$R$65*'GW-1 Exp'!$T$65)/'GW-1 Exp'!$R$65)-(EXP('GW-1 Exp'!$R$65*('GW-1 Exp'!$S$65-'GW-1 Exp'!$T$65))/'GW-1 Exp'!$R$65))*('GW-1 Exp'!$U$65*'GW-1 Exp'!$V$65*'GW-1 Exp'!$W$65*'GW-1 Exp'!$X$65*'GW-1 Exp'!$AB$65/'GW-1 Exp'!$Y$65))*3)+(((('GW-1 Inhale'!$I124)/('GW-1 Exp'!$R$66))*('GW-1 Exp'!$S$66+(EXP(-1*'GW-1 Exp'!$R$66*'GW-1 Exp'!$T$66)/'GW-1 Exp'!$R$66)-(EXP('GW-1 Exp'!$R$66*('GW-1 Exp'!$S$66-'GW-1 Exp'!$T$66))/'GW-1 Exp'!$R$66))*('GW-1 Exp'!$U$66*'GW-1 Exp'!$V$66*'GW-1 Exp'!$W$66*'GW-1 Exp'!$X$66*'GW-1 Exp'!$AB$66/'GW-1 Exp'!$Y$66))*1)),0)</f>
        <v>0</v>
      </c>
      <c r="M124" s="518">
        <f>IF(OR((VLOOKUP(A124,[1]!TOX,8,FALSE))=0,J124=0),0,'[1]Target Risk'!$D$8*(VLOOKUP(A124,[1]!TOX,8,FALSE))*'GW-1 Exp'!$Z$58/(VLOOKUP(A124,DWInhale,10,FALSE)))</f>
        <v>23485.118117808841</v>
      </c>
      <c r="N124" s="519">
        <f>IF(OR(K124=0,(VLOOKUP(A124,[1]!TOX,15,FALSE))=0),0,IF(VLOOKUP(A124,[1]!TOX,36,FALSE)="M",'[1]Target Risk'!$D$12/((VLOOKUP(A124,[1]!TOX,15,FALSE))*(VLOOKUP(A124,DWInhale,12,FALSE))), '[1]Target Risk'!$D$12/((VLOOKUP(A124,[1]!TOX,15,FALSE))*(VLOOKUP(A124,DWInhale,11,FALSE)))))</f>
        <v>0</v>
      </c>
      <c r="O124" s="520">
        <f>IF(OR(VLOOKUP(A124,[1]!TOX,15,FALSE)=0, NOT(VLOOKUP(A124,[1]!TOX,36,FALSE)="M")),0,'[1]Target Risk'!$D$12/(VLOOKUP(A124,[1]!TOX,15,FALSE)*VLOOKUP(A124,DWInhale,12,FALSE)))</f>
        <v>0</v>
      </c>
    </row>
    <row r="125" spans="1:15" x14ac:dyDescent="0.25">
      <c r="A125" s="510" t="s">
        <v>256</v>
      </c>
      <c r="B125" s="511">
        <f>(VLOOKUP(A125,[1]!TOX,54,FALSE))</f>
        <v>2.6000000000000001E-6</v>
      </c>
      <c r="C125" s="512">
        <f>(VLOOKUP(A125,[1]!TOX,57,FALSE))</f>
        <v>197</v>
      </c>
      <c r="D125" s="513">
        <f>IF(C125=0,0,'GW-1 Exp'!$F$58*(18/C125)^0.5)</f>
        <v>906.82689934778114</v>
      </c>
      <c r="E125" s="514">
        <f>IF(C125=0,0,'GW-1 Exp'!$G$58*(44/C125)^0.5)</f>
        <v>9.4519892891836612</v>
      </c>
      <c r="F125" s="514">
        <f>IF(B125*D125=0,0,((1/E125)+(('GW-1 Exp'!$E$58*'GW-1 Exp'!$M$58)/(B125*D125)))^-1)</f>
        <v>9.7124891182231596E-2</v>
      </c>
      <c r="G125" s="514">
        <f>F125*(('GW-1 Exp'!$H$58*'GW-1 Exp'!$J$58)/('GW-1 Exp'!$N$58*'GW-1 Exp'!$I$58))^-0.5</f>
        <v>0.13119613043896647</v>
      </c>
      <c r="H125" s="514">
        <f>(1-EXP((-1*G125*'GW-1 Exp'!$D$58)/(60*'GW-1 Exp'!$C$58)))</f>
        <v>4.3636558141321169E-3</v>
      </c>
      <c r="I125" s="515">
        <f>H125*'GW-1 Exp'!$P$58/'GW-1 Exp'!$Q$58</f>
        <v>7.2727596902201945E-3</v>
      </c>
      <c r="J125" s="516">
        <f>(('GW-1 Inhale'!$I125)/('GW-1 Exp'!$R$58))*('GW-1 Exp'!$S$48+(EXP(-1*'GW-1 Exp'!$R$58*'GW-1 Exp'!$T$48)/'GW-1 Exp'!$R$58)-(EXP('GW-1 Exp'!$R$58*('GW-1 Exp'!$S$48-'GW-1 Exp'!$T$48))/'GW-1 Exp'!$R$58))*('GW-1 Exp'!$U$48*'GW-1 Exp'!$V$48*'GW-1 Exp'!$W$48*'GW-1 Exp'!$X$48*'GW-1 Exp'!$AB$58/'GW-1 Exp'!$Y$48)</f>
        <v>4.761270567552359E-3</v>
      </c>
      <c r="K125" s="517">
        <f>(('GW-1 Inhale'!$I125)/('GW-1 Exp'!$R$58))*('GW-1 Exp'!$S$56+(EXP(-1*'GW-1 Exp'!$R$58*'GW-1 Exp'!$T$56)/'GW-1 Exp'!$R$58)-(EXP('GW-1 Exp'!$R$58*('GW-1 Exp'!$S$56-'GW-1 Exp'!$T$56))/'GW-1 Exp'!$R$58))*('GW-1 Exp'!$U$56*'GW-1 Exp'!$V$56*'GW-1 Exp'!$W$56*'GW-1 Exp'!$X$56*'GW-1 Exp'!$AB$58/'GW-1 Exp'!$Y$56)</f>
        <v>3.4981584546092486E-3</v>
      </c>
      <c r="L125" s="517">
        <f xml:space="preserve"> IF(VLOOKUP(A125,[1]!TOX,36,FALSE)="M",((((('GW-1 Inhale'!$I125)/('GW-1 Exp'!$R$63))*('GW-1 Exp'!$S$63+(EXP(-1*'GW-1 Exp'!$R$63*'GW-1 Exp'!$T$63)/'GW-1 Exp'!$R$63)-(EXP('GW-1 Exp'!$R$63*('GW-1 Exp'!$S$63-'GW-1 Exp'!$T$63))/'GW-1 Exp'!$R$63))*('GW-1 Exp'!$U$63*'GW-1 Exp'!$V$63*'GW-1 Exp'!$W$63*'GW-1 Exp'!$X$63*'GW-1 Exp'!$AB$63/'GW-1 Exp'!$Y$63)*10))+(((('GW-1 Inhale'!$I125)/('GW-1 Exp'!$R$64))*('GW-1 Exp'!$S$64+(EXP(-1*'GW-1 Exp'!$R$64*'GW-1 Exp'!$T$64)/'GW-1 Exp'!$R$64)-(EXP('GW-1 Exp'!$R$64*('GW-1 Exp'!$S$64-'GW-1 Exp'!$T$64))/'GW-1 Exp'!$R$64))*('GW-1 Exp'!$U$64*'GW-1 Exp'!$V$64*'GW-1 Exp'!$W$64*'GW-1 Exp'!$X$64*'GW-1 Exp'!$AB$64/'GW-1 Exp'!$Y$64))*3)+(((('GW-1 Inhale'!$I125)/('GW-1 Exp'!$R$65))*('GW-1 Exp'!$S$65+(EXP(-1*'GW-1 Exp'!$R$65*'GW-1 Exp'!$T$65)/'GW-1 Exp'!$R$65)-(EXP('GW-1 Exp'!$R$65*('GW-1 Exp'!$S$65-'GW-1 Exp'!$T$65))/'GW-1 Exp'!$R$65))*('GW-1 Exp'!$U$65*'GW-1 Exp'!$V$65*'GW-1 Exp'!$W$65*'GW-1 Exp'!$X$65*'GW-1 Exp'!$AB$65/'GW-1 Exp'!$Y$65))*3)+(((('GW-1 Inhale'!$I125)/('GW-1 Exp'!$R$66))*('GW-1 Exp'!$S$66+(EXP(-1*'GW-1 Exp'!$R$66*'GW-1 Exp'!$T$66)/'GW-1 Exp'!$R$66)-(EXP('GW-1 Exp'!$R$66*('GW-1 Exp'!$S$66-'GW-1 Exp'!$T$66))/'GW-1 Exp'!$R$66))*('GW-1 Exp'!$U$66*'GW-1 Exp'!$V$66*'GW-1 Exp'!$W$66*'GW-1 Exp'!$X$66*'GW-1 Exp'!$AB$66/'GW-1 Exp'!$Y$66))*1)),0)</f>
        <v>0</v>
      </c>
      <c r="M125" s="518">
        <f>IF(OR((VLOOKUP(A125,[1]!TOX,8,FALSE))=0,J125=0),0,'[1]Target Risk'!$D$8*(VLOOKUP(A125,[1]!TOX,8,FALSE))*'GW-1 Exp'!$Z$58/(VLOOKUP(A125,DWInhale,10,FALSE)))</f>
        <v>168.02237735698739</v>
      </c>
      <c r="N125" s="519">
        <f>IF(OR(K125=0,(VLOOKUP(A125,[1]!TOX,15,FALSE))=0),0,IF(VLOOKUP(A125,[1]!TOX,36,FALSE)="M",'[1]Target Risk'!$D$12/((VLOOKUP(A125,[1]!TOX,15,FALSE))*(VLOOKUP(A125,DWInhale,12,FALSE))), '[1]Target Risk'!$D$12/((VLOOKUP(A125,[1]!TOX,15,FALSE))*(VLOOKUP(A125,DWInhale,11,FALSE)))))</f>
        <v>92.214417770656198</v>
      </c>
      <c r="O125" s="520">
        <f>IF(OR(VLOOKUP(A125,[1]!TOX,15,FALSE)=0, NOT(VLOOKUP(A125,[1]!TOX,36,FALSE)="M")),0,'[1]Target Risk'!$D$12/(VLOOKUP(A125,[1]!TOX,15,FALSE)*VLOOKUP(A125,DWInhale,12,FALSE)))</f>
        <v>0</v>
      </c>
    </row>
    <row r="126" spans="1:15" x14ac:dyDescent="0.25">
      <c r="A126" s="510" t="s">
        <v>257</v>
      </c>
      <c r="B126" s="511">
        <f>(VLOOKUP(A126,[1]!TOX,54,FALSE))</f>
        <v>0</v>
      </c>
      <c r="C126" s="512">
        <f>(VLOOKUP(A126,[1]!TOX,57,FALSE))</f>
        <v>51</v>
      </c>
      <c r="D126" s="513">
        <f>IF(C126=0,0,'GW-1 Exp'!$F$58*(18/C126)^0.5)</f>
        <v>1782.2655773580136</v>
      </c>
      <c r="E126" s="514">
        <f>IF(C126=0,0,'GW-1 Exp'!$G$58*(44/C126)^0.5)</f>
        <v>18.576814560512961</v>
      </c>
      <c r="F126" s="514">
        <f>IF(B126*D126=0,0,((1/E126)+(('GW-1 Exp'!$E$58*'GW-1 Exp'!$M$58)/(B126*D126)))^-1)</f>
        <v>0</v>
      </c>
      <c r="G126" s="514">
        <f>F126*(('GW-1 Exp'!$H$58*'GW-1 Exp'!$J$58)/('GW-1 Exp'!$N$58*'GW-1 Exp'!$I$58))^-0.5</f>
        <v>0</v>
      </c>
      <c r="H126" s="514">
        <f>(1-EXP((-1*G126*'GW-1 Exp'!$D$58)/(60*'GW-1 Exp'!$C$58)))</f>
        <v>0</v>
      </c>
      <c r="I126" s="515">
        <f>H126*'GW-1 Exp'!$P$58/'GW-1 Exp'!$Q$58</f>
        <v>0</v>
      </c>
      <c r="J126" s="516">
        <f>(('GW-1 Inhale'!$I126)/('GW-1 Exp'!$R$58))*('GW-1 Exp'!$S$48+(EXP(-1*'GW-1 Exp'!$R$58*'GW-1 Exp'!$T$48)/'GW-1 Exp'!$R$58)-(EXP('GW-1 Exp'!$R$58*('GW-1 Exp'!$S$48-'GW-1 Exp'!$T$48))/'GW-1 Exp'!$R$58))*('GW-1 Exp'!$U$48*'GW-1 Exp'!$V$48*'GW-1 Exp'!$W$48*'GW-1 Exp'!$X$48*'GW-1 Exp'!$AB$58/'GW-1 Exp'!$Y$48)</f>
        <v>0</v>
      </c>
      <c r="K126" s="517">
        <f>(('GW-1 Inhale'!$I126)/('GW-1 Exp'!$R$58))*('GW-1 Exp'!$S$56+(EXP(-1*'GW-1 Exp'!$R$58*'GW-1 Exp'!$T$56)/'GW-1 Exp'!$R$58)-(EXP('GW-1 Exp'!$R$58*('GW-1 Exp'!$S$56-'GW-1 Exp'!$T$56))/'GW-1 Exp'!$R$58))*('GW-1 Exp'!$U$56*'GW-1 Exp'!$V$56*'GW-1 Exp'!$W$56*'GW-1 Exp'!$X$56*'GW-1 Exp'!$AB$58/'GW-1 Exp'!$Y$56)</f>
        <v>0</v>
      </c>
      <c r="L126" s="517">
        <f xml:space="preserve"> IF(VLOOKUP(A126,[1]!TOX,36,FALSE)="M",((((('GW-1 Inhale'!$I126)/('GW-1 Exp'!$R$63))*('GW-1 Exp'!$S$63+(EXP(-1*'GW-1 Exp'!$R$63*'GW-1 Exp'!$T$63)/'GW-1 Exp'!$R$63)-(EXP('GW-1 Exp'!$R$63*('GW-1 Exp'!$S$63-'GW-1 Exp'!$T$63))/'GW-1 Exp'!$R$63))*('GW-1 Exp'!$U$63*'GW-1 Exp'!$V$63*'GW-1 Exp'!$W$63*'GW-1 Exp'!$X$63*'GW-1 Exp'!$AB$63/'GW-1 Exp'!$Y$63)*10))+(((('GW-1 Inhale'!$I126)/('GW-1 Exp'!$R$64))*('GW-1 Exp'!$S$64+(EXP(-1*'GW-1 Exp'!$R$64*'GW-1 Exp'!$T$64)/'GW-1 Exp'!$R$64)-(EXP('GW-1 Exp'!$R$64*('GW-1 Exp'!$S$64-'GW-1 Exp'!$T$64))/'GW-1 Exp'!$R$64))*('GW-1 Exp'!$U$64*'GW-1 Exp'!$V$64*'GW-1 Exp'!$W$64*'GW-1 Exp'!$X$64*'GW-1 Exp'!$AB$64/'GW-1 Exp'!$Y$64))*3)+(((('GW-1 Inhale'!$I126)/('GW-1 Exp'!$R$65))*('GW-1 Exp'!$S$65+(EXP(-1*'GW-1 Exp'!$R$65*'GW-1 Exp'!$T$65)/'GW-1 Exp'!$R$65)-(EXP('GW-1 Exp'!$R$65*('GW-1 Exp'!$S$65-'GW-1 Exp'!$T$65))/'GW-1 Exp'!$R$65))*('GW-1 Exp'!$U$65*'GW-1 Exp'!$V$65*'GW-1 Exp'!$W$65*'GW-1 Exp'!$X$65*'GW-1 Exp'!$AB$65/'GW-1 Exp'!$Y$65))*3)+(((('GW-1 Inhale'!$I126)/('GW-1 Exp'!$R$66))*('GW-1 Exp'!$S$66+(EXP(-1*'GW-1 Exp'!$R$66*'GW-1 Exp'!$T$66)/'GW-1 Exp'!$R$66)-(EXP('GW-1 Exp'!$R$66*('GW-1 Exp'!$S$66-'GW-1 Exp'!$T$66))/'GW-1 Exp'!$R$66))*('GW-1 Exp'!$U$66*'GW-1 Exp'!$V$66*'GW-1 Exp'!$W$66*'GW-1 Exp'!$X$66*'GW-1 Exp'!$AB$66/'GW-1 Exp'!$Y$66))*1)),0)</f>
        <v>0</v>
      </c>
      <c r="M126" s="518">
        <f>IF(OR((VLOOKUP(A126,[1]!TOX,8,FALSE))=0,J126=0),0,'[1]Target Risk'!$D$8*(VLOOKUP(A126,[1]!TOX,8,FALSE))*'GW-1 Exp'!$Z$58/(VLOOKUP(A126,DWInhale,10,FALSE)))</f>
        <v>0</v>
      </c>
      <c r="N126" s="519">
        <f>IF(OR(K126=0,(VLOOKUP(A126,[1]!TOX,15,FALSE))=0),0,IF(VLOOKUP(A126,[1]!TOX,36,FALSE)="M",'[1]Target Risk'!$D$12/((VLOOKUP(A126,[1]!TOX,15,FALSE))*(VLOOKUP(A126,DWInhale,12,FALSE))), '[1]Target Risk'!$D$12/((VLOOKUP(A126,[1]!TOX,15,FALSE))*(VLOOKUP(A126,DWInhale,11,FALSE)))))</f>
        <v>0</v>
      </c>
      <c r="O126" s="520">
        <f>IF(OR(VLOOKUP(A126,[1]!TOX,15,FALSE)=0, NOT(VLOOKUP(A126,[1]!TOX,36,FALSE)="M")),0,'[1]Target Risk'!$D$12/(VLOOKUP(A126,[1]!TOX,15,FALSE)*VLOOKUP(A126,DWInhale,12,FALSE)))</f>
        <v>0</v>
      </c>
    </row>
    <row r="127" spans="1:15" x14ac:dyDescent="0.25">
      <c r="A127" s="510" t="s">
        <v>258</v>
      </c>
      <c r="B127" s="511">
        <f>(VLOOKUP(A127,[1]!TOX,54,FALSE))</f>
        <v>2.7799999999999998E-2</v>
      </c>
      <c r="C127" s="512">
        <f>(VLOOKUP(A127,[1]!TOX,57,FALSE))</f>
        <v>63</v>
      </c>
      <c r="D127" s="513">
        <f>IF(C127=0,0,'GW-1 Exp'!$F$58*(18/C127)^0.5)</f>
        <v>1603.5674514745465</v>
      </c>
      <c r="E127" s="514">
        <f>IF(C127=0,0,'GW-1 Exp'!$G$58*(44/C127)^0.5)</f>
        <v>16.714217880746897</v>
      </c>
      <c r="F127" s="514">
        <f>IF(B127*D127=0,0,((1/E127)+(('GW-1 Exp'!$E$58*'GW-1 Exp'!$M$58)/(B127*D127)))^-1)</f>
        <v>16.564997930988458</v>
      </c>
      <c r="G127" s="514">
        <f>F127*(('GW-1 Exp'!$H$58*'GW-1 Exp'!$J$58)/('GW-1 Exp'!$N$58*'GW-1 Exp'!$I$58))^-0.5</f>
        <v>22.375969772749219</v>
      </c>
      <c r="H127" s="514">
        <f>(1-EXP((-1*G127*'GW-1 Exp'!$D$58)/(60*'GW-1 Exp'!$C$58)))</f>
        <v>0.52567648029946779</v>
      </c>
      <c r="I127" s="515">
        <f>H127*'GW-1 Exp'!$P$58/'GW-1 Exp'!$Q$58</f>
        <v>0.87612746716577961</v>
      </c>
      <c r="J127" s="516">
        <f>(('GW-1 Inhale'!$I127)/('GW-1 Exp'!$R$58))*('GW-1 Exp'!$S$48+(EXP(-1*'GW-1 Exp'!$R$58*'GW-1 Exp'!$T$48)/'GW-1 Exp'!$R$58)-(EXP('GW-1 Exp'!$R$58*('GW-1 Exp'!$S$48-'GW-1 Exp'!$T$48))/'GW-1 Exp'!$R$58))*('GW-1 Exp'!$U$48*'GW-1 Exp'!$V$48*'GW-1 Exp'!$W$48*'GW-1 Exp'!$X$48*'GW-1 Exp'!$AB$58/'GW-1 Exp'!$Y$48)</f>
        <v>0.57357593273019647</v>
      </c>
      <c r="K127" s="758">
        <f>(('GW-1 Inhale'!$I127)/('GW-1 Exp'!$R$58))*('GW-1 Exp'!$S$56+(EXP(-1*'GW-1 Exp'!$R$58*'GW-1 Exp'!$T$56)/'GW-1 Exp'!$R$58)-(EXP('GW-1 Exp'!$R$58*('GW-1 Exp'!$S$56-'GW-1 Exp'!$T$56))/'GW-1 Exp'!$R$58))*('GW-1 Exp'!$U$56*'GW-1 Exp'!$V$56*'GW-1 Exp'!$W$56*'GW-1 Exp'!$X$56*'GW-1 Exp'!$AB$58/'GW-1 Exp'!$Y$56)</f>
        <v>0.42141261874810637</v>
      </c>
      <c r="L127" s="517">
        <f>'GW-1 VC &amp; TCE'!D36</f>
        <v>0.89456578645784535</v>
      </c>
      <c r="M127" s="518">
        <f>IF(OR((VLOOKUP(A127,[1]!TOX,8,FALSE))=0,J127=0),0,'[1]Target Risk'!$D$8*(VLOOKUP(A127,[1]!TOX,8,FALSE))*'GW-1 Exp'!$Z$58/(VLOOKUP(A127,DWInhale,10,FALSE)))</f>
        <v>34.868966528635319</v>
      </c>
      <c r="N127" s="519">
        <f>'[1]Target Risk'!$D$12/((VLOOKUP(A127,[1]!TOX,15,FALSE))*(VLOOKUP(A127,DWInhale,12,FALSE)))</f>
        <v>0.25405926619734076</v>
      </c>
      <c r="O127" s="520">
        <f>'[1]Target Risk'!$D$12/((VLOOKUP(A127,[1]!TOX,15,FALSE))*(VLOOKUP(A127,DWInhale,12,FALSE)))</f>
        <v>0.25405926619734076</v>
      </c>
    </row>
    <row r="128" spans="1:15" x14ac:dyDescent="0.25">
      <c r="A128" s="510" t="s">
        <v>286</v>
      </c>
      <c r="B128" s="511">
        <f>(VLOOKUP(A128,[1]!TOX,54,FALSE))</f>
        <v>6.6299999999999996E-3</v>
      </c>
      <c r="C128" s="512">
        <f>(VLOOKUP(A128,[1]!TOX,57,FALSE))</f>
        <v>106</v>
      </c>
      <c r="D128" s="513">
        <f>IF(C128=0,0,'GW-1 Exp'!$F$58*(18/C128)^0.5)</f>
        <v>1236.2450755382013</v>
      </c>
      <c r="E128" s="514">
        <f>IF(C128=0,0,'GW-1 Exp'!$G$58*(44/C128)^0.5)</f>
        <v>12.885563078463299</v>
      </c>
      <c r="F128" s="514">
        <f>IF(B128*D128=0,0,((1/E128)+(('GW-1 Exp'!$E$58*'GW-1 Exp'!$M$58)/(B128*D128)))^-1)</f>
        <v>12.416567940749928</v>
      </c>
      <c r="G128" s="514">
        <f>F128*(('GW-1 Exp'!$H$58*'GW-1 Exp'!$J$58)/('GW-1 Exp'!$N$58*'GW-1 Exp'!$I$58))^-0.5</f>
        <v>16.772277912800725</v>
      </c>
      <c r="H128" s="514">
        <f>(1-EXP((-1*G128*'GW-1 Exp'!$D$58)/(60*'GW-1 Exp'!$C$58)))</f>
        <v>0.4282628552811294</v>
      </c>
      <c r="I128" s="515">
        <f>H128*'GW-1 Exp'!$P$58/'GW-1 Exp'!$Q$58</f>
        <v>0.7137714254685491</v>
      </c>
      <c r="J128" s="516">
        <f>(('GW-1 Inhale'!$I128)/('GW-1 Exp'!$R$58))*('GW-1 Exp'!$S$48+(EXP(-1*'GW-1 Exp'!$R$58*'GW-1 Exp'!$T$48)/'GW-1 Exp'!$R$58)-(EXP('GW-1 Exp'!$R$58*('GW-1 Exp'!$S$48-'GW-1 Exp'!$T$48))/'GW-1 Exp'!$R$58))*('GW-1 Exp'!$U$48*'GW-1 Exp'!$V$48*'GW-1 Exp'!$W$48*'GW-1 Exp'!$X$48*'GW-1 Exp'!$AB$58/'GW-1 Exp'!$Y$48)</f>
        <v>0.46728601312281248</v>
      </c>
      <c r="K128" s="517">
        <f>(('GW-1 Inhale'!$I128)/('GW-1 Exp'!$R$58))*('GW-1 Exp'!$S$56+(EXP(-1*'GW-1 Exp'!$R$58*'GW-1 Exp'!$T$56)/'GW-1 Exp'!$R$58)-(EXP('GW-1 Exp'!$R$58*('GW-1 Exp'!$S$56-'GW-1 Exp'!$T$56))/'GW-1 Exp'!$R$58))*('GW-1 Exp'!$U$56*'GW-1 Exp'!$V$56*'GW-1 Exp'!$W$56*'GW-1 Exp'!$X$56*'GW-1 Exp'!$AB$58/'GW-1 Exp'!$Y$56)</f>
        <v>0.34332023234851361</v>
      </c>
      <c r="L128" s="517">
        <f xml:space="preserve"> IF(VLOOKUP(A128,[1]!TOX,36,FALSE)="M",((((('GW-1 Inhale'!$I128)/('GW-1 Exp'!$R$63))*('GW-1 Exp'!$S$63+(EXP(-1*'GW-1 Exp'!$R$63*'GW-1 Exp'!$T$63)/'GW-1 Exp'!$R$63)-(EXP('GW-1 Exp'!$R$63*('GW-1 Exp'!$S$63-'GW-1 Exp'!$T$63))/'GW-1 Exp'!$R$63))*('GW-1 Exp'!$U$63*'GW-1 Exp'!$V$63*'GW-1 Exp'!$W$63*'GW-1 Exp'!$X$63*'GW-1 Exp'!$AB$63/'GW-1 Exp'!$Y$63)*10))+(((('GW-1 Inhale'!$I128)/('GW-1 Exp'!$R$64))*('GW-1 Exp'!$S$64+(EXP(-1*'GW-1 Exp'!$R$64*'GW-1 Exp'!$T$64)/'GW-1 Exp'!$R$64)-(EXP('GW-1 Exp'!$R$64*('GW-1 Exp'!$S$64-'GW-1 Exp'!$T$64))/'GW-1 Exp'!$R$64))*('GW-1 Exp'!$U$64*'GW-1 Exp'!$V$64*'GW-1 Exp'!$W$64*'GW-1 Exp'!$X$64*'GW-1 Exp'!$AB$64/'GW-1 Exp'!$Y$64))*3)+(((('GW-1 Inhale'!$I128)/('GW-1 Exp'!$R$65))*('GW-1 Exp'!$S$65+(EXP(-1*'GW-1 Exp'!$R$65*'GW-1 Exp'!$T$65)/'GW-1 Exp'!$R$65)-(EXP('GW-1 Exp'!$R$65*('GW-1 Exp'!$S$65-'GW-1 Exp'!$T$65))/'GW-1 Exp'!$R$65))*('GW-1 Exp'!$U$65*'GW-1 Exp'!$V$65*'GW-1 Exp'!$W$65*'GW-1 Exp'!$X$65*'GW-1 Exp'!$AB$65/'GW-1 Exp'!$Y$65))*3)+(((('GW-1 Inhale'!$I128)/('GW-1 Exp'!$R$66))*('GW-1 Exp'!$S$66+(EXP(-1*'GW-1 Exp'!$R$66*'GW-1 Exp'!$T$66)/'GW-1 Exp'!$R$66)-(EXP('GW-1 Exp'!$R$66*('GW-1 Exp'!$S$66-'GW-1 Exp'!$T$66))/'GW-1 Exp'!$R$66))*('GW-1 Exp'!$U$66*'GW-1 Exp'!$V$66*'GW-1 Exp'!$W$66*'GW-1 Exp'!$X$66*'GW-1 Exp'!$AB$66/'GW-1 Exp'!$Y$66))*1)),0)</f>
        <v>0</v>
      </c>
      <c r="M128" s="518">
        <f>IF(OR((VLOOKUP(A128,[1]!TOX,8,FALSE))=0,J128=0),0,'[1]Target Risk'!$D$8*(VLOOKUP(A128,[1]!TOX,8,FALSE))*'GW-1 Exp'!$Z$58/(VLOOKUP(A128,DWInhale,10,FALSE)))</f>
        <v>42.800339488748165</v>
      </c>
      <c r="N128" s="519">
        <f>IF(OR(K128=0,(VLOOKUP(A128,[1]!TOX,15,FALSE))=0),0,IF(VLOOKUP(A128,[1]!TOX,36,FALSE)="M",'[1]Target Risk'!$D$12/((VLOOKUP(A128,[1]!TOX,15,FALSE))*(VLOOKUP(A128,DWInhale,12,FALSE))), '[1]Target Risk'!$D$12/((VLOOKUP(A128,[1]!TOX,15,FALSE))*(VLOOKUP(A128,DWInhale,11,FALSE)))))</f>
        <v>0</v>
      </c>
      <c r="O128" s="520">
        <f>IF(OR(VLOOKUP(A128,[1]!TOX,15,FALSE)=0, NOT(VLOOKUP(A128,[1]!TOX,36,FALSE)="M")),0,'[1]Target Risk'!$D$12/(VLOOKUP(A128,[1]!TOX,15,FALSE)*VLOOKUP(A128,DWInhale,12,FALSE)))</f>
        <v>0</v>
      </c>
    </row>
    <row r="129" spans="1:15" ht="10.5" thickBot="1" x14ac:dyDescent="0.3">
      <c r="A129" s="524" t="s">
        <v>259</v>
      </c>
      <c r="B129" s="525">
        <f>(VLOOKUP(A129,[1]!TOX,54,FALSE))</f>
        <v>0</v>
      </c>
      <c r="C129" s="526">
        <f>(VLOOKUP(A129,[1]!TOX,57,FALSE))</f>
        <v>65</v>
      </c>
      <c r="D129" s="527">
        <f>IF(C129=0,0,'GW-1 Exp'!$F$58*(18/C129)^0.5)</f>
        <v>1578.7044347526528</v>
      </c>
      <c r="E129" s="528">
        <f>IF(C129=0,0,'GW-1 Exp'!$G$58*(44/C129)^0.5)</f>
        <v>16.455067024148846</v>
      </c>
      <c r="F129" s="528">
        <f>IF(B129*D129=0,0,((1/E129)+(('GW-1 Exp'!$E$58*'GW-1 Exp'!$M$58)/(B129*D129)))^-1)</f>
        <v>0</v>
      </c>
      <c r="G129" s="528">
        <f>F129*(('GW-1 Exp'!$H$58*'GW-1 Exp'!$J$58)/('GW-1 Exp'!$N$58*'GW-1 Exp'!$I$58))^-0.5</f>
        <v>0</v>
      </c>
      <c r="H129" s="528">
        <f>(1-EXP((-1*G129*'GW-1 Exp'!$D$58)/(60*'GW-1 Exp'!$C$58)))</f>
        <v>0</v>
      </c>
      <c r="I129" s="529">
        <f>H129*'GW-1 Exp'!$P$58/'GW-1 Exp'!$Q$58</f>
        <v>0</v>
      </c>
      <c r="J129" s="530">
        <f>(('GW-1 Inhale'!$I129)/('GW-1 Exp'!$R$58))*('GW-1 Exp'!$S$48+(EXP(-1*'GW-1 Exp'!$R$58*'GW-1 Exp'!$T$48)/'GW-1 Exp'!$R$58)-(EXP('GW-1 Exp'!$R$58*('GW-1 Exp'!$S$48-'GW-1 Exp'!$T$48))/'GW-1 Exp'!$R$58))*('GW-1 Exp'!$U$48*'GW-1 Exp'!$V$48*'GW-1 Exp'!$W$48*'GW-1 Exp'!$X$48*'GW-1 Exp'!$AB$58/'GW-1 Exp'!$Y$48)</f>
        <v>0</v>
      </c>
      <c r="K129" s="531">
        <f>(('GW-1 Inhale'!$I129)/('GW-1 Exp'!$R$58))*('GW-1 Exp'!$S$56+(EXP(-1*'GW-1 Exp'!$R$58*'GW-1 Exp'!$T$56)/'GW-1 Exp'!$R$58)-(EXP('GW-1 Exp'!$R$58*('GW-1 Exp'!$S$56-'GW-1 Exp'!$T$56))/'GW-1 Exp'!$R$58))*('GW-1 Exp'!$U$56*'GW-1 Exp'!$V$56*'GW-1 Exp'!$W$56*'GW-1 Exp'!$X$56*'GW-1 Exp'!$AB$58/'GW-1 Exp'!$Y$56)</f>
        <v>0</v>
      </c>
      <c r="L129" s="531">
        <f xml:space="preserve"> IF(VLOOKUP(A129,[1]!TOX,36,FALSE)="M",((((('GW-1 Inhale'!$I129)/('GW-1 Exp'!$R$63))*('GW-1 Exp'!$S$63+(EXP(-1*'GW-1 Exp'!$R$63*'GW-1 Exp'!$T$63)/'GW-1 Exp'!$R$63)-(EXP('GW-1 Exp'!$R$63*('GW-1 Exp'!$S$63-'GW-1 Exp'!$T$63))/'GW-1 Exp'!$R$63))*('GW-1 Exp'!$U$63*'GW-1 Exp'!$V$63*'GW-1 Exp'!$W$63*'GW-1 Exp'!$X$63*'GW-1 Exp'!$AB$63/'GW-1 Exp'!$Y$63)*10))+(((('GW-1 Inhale'!$I129)/('GW-1 Exp'!$R$64))*('GW-1 Exp'!$S$64+(EXP(-1*'GW-1 Exp'!$R$64*'GW-1 Exp'!$T$64)/'GW-1 Exp'!$R$64)-(EXP('GW-1 Exp'!$R$64*('GW-1 Exp'!$S$64-'GW-1 Exp'!$T$64))/'GW-1 Exp'!$R$64))*('GW-1 Exp'!$U$64*'GW-1 Exp'!$V$64*'GW-1 Exp'!$W$64*'GW-1 Exp'!$X$64*'GW-1 Exp'!$AB$64/'GW-1 Exp'!$Y$64))*3)+(((('GW-1 Inhale'!$I129)/('GW-1 Exp'!$R$65))*('GW-1 Exp'!$S$65+(EXP(-1*'GW-1 Exp'!$R$65*'GW-1 Exp'!$T$65)/'GW-1 Exp'!$R$65)-(EXP('GW-1 Exp'!$R$65*('GW-1 Exp'!$S$65-'GW-1 Exp'!$T$65))/'GW-1 Exp'!$R$65))*('GW-1 Exp'!$U$65*'GW-1 Exp'!$V$65*'GW-1 Exp'!$W$65*'GW-1 Exp'!$X$65*'GW-1 Exp'!$AB$65/'GW-1 Exp'!$Y$65))*3)+(((('GW-1 Inhale'!$I129)/('GW-1 Exp'!$R$66))*('GW-1 Exp'!$S$66+(EXP(-1*'GW-1 Exp'!$R$66*'GW-1 Exp'!$T$66)/'GW-1 Exp'!$R$66)-(EXP('GW-1 Exp'!$R$66*('GW-1 Exp'!$S$66-'GW-1 Exp'!$T$66))/'GW-1 Exp'!$R$66))*('GW-1 Exp'!$U$66*'GW-1 Exp'!$V$66*'GW-1 Exp'!$W$66*'GW-1 Exp'!$X$66*'GW-1 Exp'!$AB$66/'GW-1 Exp'!$Y$66))*1)),0)</f>
        <v>0</v>
      </c>
      <c r="M129" s="532">
        <f>IF(OR((VLOOKUP(A129,[1]!TOX,8,FALSE))=0,J129=0),0,'[1]Target Risk'!$D$8*(VLOOKUP(A129,[1]!TOX,8,FALSE))*'GW-1 Exp'!$Z$58/(VLOOKUP(A129,DWInhale,10,FALSE)))</f>
        <v>0</v>
      </c>
      <c r="N129" s="533">
        <f>IF(OR(K129=0,(VLOOKUP(A129,[1]!TOX,15,FALSE))=0),0,IF(VLOOKUP(A129,[1]!TOX,36,FALSE)="M",'[1]Target Risk'!$D$12/((VLOOKUP(A129,[1]!TOX,15,FALSE))*(VLOOKUP(A129,DWInhale,12,FALSE))), '[1]Target Risk'!$D$12/((VLOOKUP(A129,[1]!TOX,15,FALSE))*(VLOOKUP(A129,DWInhale,11,FALSE)))))</f>
        <v>0</v>
      </c>
      <c r="O129" s="534">
        <f>IF(OR(VLOOKUP(A129,[1]!TOX,15,FALSE)=0, NOT(VLOOKUP(A129,[1]!TOX,36,FALSE)="M")),0,'[1]Target Risk'!$D$12/(VLOOKUP(A129,[1]!TOX,15,FALSE)*VLOOKUP(A129,DWInhale,12,FALSE)))</f>
        <v>0</v>
      </c>
    </row>
    <row r="130" spans="1:15" ht="10.5" thickTop="1" x14ac:dyDescent="0.25">
      <c r="B130" s="458">
        <f>[1]Toxicity!BB126</f>
        <v>0</v>
      </c>
      <c r="D130" s="459"/>
      <c r="E130" s="459"/>
    </row>
  </sheetData>
  <sheetProtection sheet="1" objects="1" scenarios="1"/>
  <mergeCells count="4">
    <mergeCell ref="M1:O1"/>
    <mergeCell ref="M2:O2"/>
    <mergeCell ref="M3:O3"/>
    <mergeCell ref="D1:I1"/>
  </mergeCells>
  <phoneticPr fontId="0" type="noConversion"/>
  <pageMargins left="0.5" right="0.5" top="1" bottom="1" header="0.5" footer="0.4"/>
  <pageSetup scale="8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47"/>
  <sheetViews>
    <sheetView showGridLines="0" workbookViewId="0">
      <selection activeCell="A3" sqref="A3"/>
    </sheetView>
  </sheetViews>
  <sheetFormatPr defaultColWidth="8.9140625" defaultRowHeight="10" x14ac:dyDescent="0.2"/>
  <cols>
    <col min="1" max="1" width="33.4140625" style="364" customWidth="1"/>
    <col min="2" max="2" width="15.6640625" style="364" bestFit="1" customWidth="1"/>
    <col min="3" max="3" width="33.6640625" style="364" bestFit="1" customWidth="1"/>
    <col min="4" max="4" width="13.9140625" style="364" bestFit="1" customWidth="1"/>
    <col min="5" max="5" width="7.6640625" style="364" customWidth="1"/>
    <col min="6" max="6" width="14.33203125" style="364" customWidth="1"/>
    <col min="7" max="7" width="12.9140625" style="364" customWidth="1"/>
    <col min="8" max="8" width="15.25" style="364" customWidth="1"/>
    <col min="9" max="9" width="16.08203125" style="364" bestFit="1" customWidth="1"/>
    <col min="10" max="16384" width="8.9140625" style="364"/>
  </cols>
  <sheetData>
    <row r="1" spans="1:9" ht="11.5" x14ac:dyDescent="0.25">
      <c r="A1" s="377" t="s">
        <v>962</v>
      </c>
      <c r="B1" s="363"/>
      <c r="C1" s="363"/>
      <c r="D1" s="363"/>
      <c r="E1" s="363"/>
      <c r="F1" s="363"/>
      <c r="G1" s="363"/>
      <c r="H1" s="363"/>
      <c r="I1" s="363"/>
    </row>
    <row r="2" spans="1:9" ht="11.5" x14ac:dyDescent="0.25">
      <c r="A2" s="377" t="s">
        <v>1064</v>
      </c>
    </row>
    <row r="3" spans="1:9" ht="10.5" thickBot="1" x14ac:dyDescent="0.25">
      <c r="B3" s="365"/>
      <c r="C3" s="366"/>
      <c r="D3" s="365"/>
    </row>
    <row r="4" spans="1:9" ht="12.5" thickTop="1" x14ac:dyDescent="0.3">
      <c r="A4" s="406" t="s">
        <v>974</v>
      </c>
      <c r="B4" s="380"/>
      <c r="C4" s="380"/>
      <c r="D4" s="381"/>
    </row>
    <row r="5" spans="1:9" ht="11.5" x14ac:dyDescent="0.25">
      <c r="A5" s="382"/>
      <c r="B5" s="408" t="s">
        <v>969</v>
      </c>
      <c r="C5" s="367"/>
      <c r="D5" s="769" t="s">
        <v>978</v>
      </c>
    </row>
    <row r="6" spans="1:9" ht="11.5" x14ac:dyDescent="0.25">
      <c r="A6" s="409" t="s">
        <v>1042</v>
      </c>
      <c r="B6" s="407">
        <v>3.6999999999999998E-2</v>
      </c>
      <c r="C6" s="767" t="s">
        <v>1044</v>
      </c>
      <c r="D6" s="768">
        <v>3.1E-6</v>
      </c>
    </row>
    <row r="7" spans="1:9" ht="11.5" x14ac:dyDescent="0.25">
      <c r="A7" s="409" t="s">
        <v>1043</v>
      </c>
      <c r="B7" s="407">
        <v>9.2999999999999992E-3</v>
      </c>
      <c r="C7" s="767" t="s">
        <v>1045</v>
      </c>
      <c r="D7" s="768">
        <f>0.000001</f>
        <v>9.9999999999999995E-7</v>
      </c>
    </row>
    <row r="8" spans="1:9" ht="11.5" x14ac:dyDescent="0.25">
      <c r="A8" s="382" t="s">
        <v>37</v>
      </c>
      <c r="B8" s="368"/>
      <c r="C8" s="368"/>
      <c r="D8" s="383"/>
    </row>
    <row r="9" spans="1:9" ht="48.5" thickBot="1" x14ac:dyDescent="0.35">
      <c r="A9" s="384" t="s">
        <v>156</v>
      </c>
      <c r="B9" s="369" t="s">
        <v>963</v>
      </c>
      <c r="C9" s="369" t="s">
        <v>964</v>
      </c>
      <c r="D9" s="385" t="s">
        <v>930</v>
      </c>
      <c r="F9" s="370"/>
    </row>
    <row r="10" spans="1:9" ht="11.5" x14ac:dyDescent="0.25">
      <c r="A10" s="386" t="s">
        <v>254</v>
      </c>
      <c r="B10" s="858">
        <f>(('GW-1 Exp'!$J$26)*(VLOOKUP(A10,[1]!TOX,33,FALSE))*B6)</f>
        <v>6.6953516709476953E-7</v>
      </c>
      <c r="C10" s="858">
        <f>(((('GW-1 Exp'!$J$33*(VLOOKUP(A10,[1]!TOX,33,FALSE))*B7))*10)+((('GW-1 Exp'!$J$34*(VLOOKUP(A10,[1]!TOX,33,FALSE))*B7))*3)+((('GW-1 Exp'!$J$35*(VLOOKUP(A10,[1]!TOX,33,FALSE))*B7))*3)+((('GW-1 Exp'!$J$36*(VLOOKUP(A10,[1]!TOX,33,FALSE))*B7))*1))</f>
        <v>6.0895939694123709E-7</v>
      </c>
      <c r="D10" s="387">
        <f>'[1]Target Risk'!$D$12/(B10+C10)</f>
        <v>0.78216992713927302</v>
      </c>
    </row>
    <row r="11" spans="1:9" x14ac:dyDescent="0.2">
      <c r="A11" s="388"/>
      <c r="B11" s="368"/>
      <c r="C11" s="368"/>
      <c r="D11" s="383"/>
    </row>
    <row r="12" spans="1:9" x14ac:dyDescent="0.2">
      <c r="A12" s="388"/>
      <c r="B12" s="368"/>
      <c r="C12" s="368"/>
      <c r="D12" s="383"/>
    </row>
    <row r="13" spans="1:9" ht="11.5" x14ac:dyDescent="0.25">
      <c r="A13" s="382" t="s">
        <v>318</v>
      </c>
      <c r="B13" s="368"/>
      <c r="C13" s="368"/>
      <c r="D13" s="383"/>
    </row>
    <row r="14" spans="1:9" ht="48.5" thickBot="1" x14ac:dyDescent="0.35">
      <c r="A14" s="384" t="s">
        <v>156</v>
      </c>
      <c r="B14" s="369" t="s">
        <v>968</v>
      </c>
      <c r="C14" s="369" t="s">
        <v>967</v>
      </c>
      <c r="D14" s="385" t="s">
        <v>930</v>
      </c>
    </row>
    <row r="15" spans="1:9" ht="11.5" x14ac:dyDescent="0.25">
      <c r="A15" s="386" t="s">
        <v>254</v>
      </c>
      <c r="B15" s="371">
        <f>(D6*(VLOOKUP(A15,DWInhale,11,FALSE)))</f>
        <v>9.9127606250142246E-7</v>
      </c>
      <c r="C15" s="371">
        <f>(D7*(VLOOKUP(A15,DWInhale,12,FALSE)))</f>
        <v>6.736158343109595E-7</v>
      </c>
      <c r="D15" s="387">
        <f>'[1]Target Risk'!$D$12/(B15+C15)</f>
        <v>0.60063959823133839</v>
      </c>
    </row>
    <row r="16" spans="1:9" x14ac:dyDescent="0.2">
      <c r="A16" s="388"/>
      <c r="B16" s="368"/>
      <c r="C16" s="368"/>
      <c r="D16" s="383"/>
    </row>
    <row r="17" spans="1:8" x14ac:dyDescent="0.2">
      <c r="A17" s="388"/>
      <c r="B17" s="368"/>
      <c r="C17" s="368"/>
      <c r="D17" s="383"/>
    </row>
    <row r="18" spans="1:8" ht="11.5" x14ac:dyDescent="0.25">
      <c r="A18" s="382" t="s">
        <v>38</v>
      </c>
      <c r="B18" s="368"/>
      <c r="C18" s="368"/>
      <c r="D18" s="383"/>
    </row>
    <row r="19" spans="1:8" ht="48.5" thickBot="1" x14ac:dyDescent="0.35">
      <c r="A19" s="384" t="s">
        <v>156</v>
      </c>
      <c r="B19" s="369" t="s">
        <v>963</v>
      </c>
      <c r="C19" s="369" t="s">
        <v>964</v>
      </c>
      <c r="D19" s="385" t="s">
        <v>930</v>
      </c>
    </row>
    <row r="20" spans="1:8" ht="11.5" x14ac:dyDescent="0.25">
      <c r="A20" s="386" t="s">
        <v>254</v>
      </c>
      <c r="B20" s="371">
        <f>('GW-1 Exp'!$V$21*'GW-1 Derm'!N123*B6)</f>
        <v>1.0454071718774496E-7</v>
      </c>
      <c r="C20" s="371">
        <f>(('GW-1 Exp'!$V$26*'GW-1 Derm'!$AB123*(B7)*10)+('GW-1 Exp'!$V$27*'GW-1 Derm'!$AC123*(B7)*3)+('GW-1 Exp'!$V$28*'GW-1 Derm'!$AD123*(B7)*3)+('GW-1 Exp'!$V$29*'GW-1 Derm'!$AE123*(B7)*1))</f>
        <v>6.9395547480734164E-8</v>
      </c>
      <c r="D20" s="387">
        <f>'[1]Target Risk'!$D$12/(B20+C20)</f>
        <v>5.7492323518961985</v>
      </c>
      <c r="F20" s="848"/>
    </row>
    <row r="21" spans="1:8" ht="10.5" x14ac:dyDescent="0.25">
      <c r="A21" s="388"/>
      <c r="B21" s="368"/>
      <c r="C21" s="368"/>
      <c r="D21" s="383"/>
      <c r="F21" s="848"/>
    </row>
    <row r="22" spans="1:8" ht="72.5" thickBot="1" x14ac:dyDescent="0.35">
      <c r="A22" s="384" t="s">
        <v>156</v>
      </c>
      <c r="B22" s="369" t="s">
        <v>965</v>
      </c>
      <c r="C22" s="369" t="s">
        <v>966</v>
      </c>
      <c r="D22" s="410" t="s">
        <v>1046</v>
      </c>
    </row>
    <row r="23" spans="1:8" ht="11.5" x14ac:dyDescent="0.25">
      <c r="A23" s="389" t="s">
        <v>254</v>
      </c>
      <c r="B23" s="765">
        <f>SUM(B10,B15,B20)</f>
        <v>1.7653519467839369E-6</v>
      </c>
      <c r="C23" s="765">
        <f>SUM(C10,C15,C20)</f>
        <v>1.3519707787329309E-6</v>
      </c>
      <c r="D23" s="766">
        <f>1/((1/D10)+(1/D15)+(1/D20))</f>
        <v>0.32078808902732225</v>
      </c>
      <c r="H23" s="32"/>
    </row>
    <row r="24" spans="1:8" ht="12" thickBot="1" x14ac:dyDescent="0.3">
      <c r="A24" s="390"/>
      <c r="B24" s="372"/>
      <c r="D24" s="391"/>
      <c r="H24" s="32"/>
    </row>
    <row r="25" spans="1:8" ht="12" x14ac:dyDescent="0.3">
      <c r="A25" s="392" t="s">
        <v>975</v>
      </c>
      <c r="B25" s="378"/>
      <c r="C25" s="378"/>
      <c r="D25" s="393"/>
      <c r="H25" s="32"/>
    </row>
    <row r="26" spans="1:8" ht="11.5" x14ac:dyDescent="0.25">
      <c r="A26" s="394"/>
      <c r="B26" s="373"/>
      <c r="C26" s="373"/>
      <c r="D26" s="395"/>
      <c r="H26" s="32"/>
    </row>
    <row r="27" spans="1:8" ht="12" x14ac:dyDescent="0.3">
      <c r="A27" s="394" t="s">
        <v>37</v>
      </c>
      <c r="B27" s="373"/>
      <c r="C27" s="373"/>
      <c r="D27" s="395"/>
      <c r="H27" s="374"/>
    </row>
    <row r="28" spans="1:8" ht="23.5" x14ac:dyDescent="0.3">
      <c r="A28" s="396"/>
      <c r="B28" s="33" t="s">
        <v>934</v>
      </c>
      <c r="C28" s="373"/>
      <c r="D28" s="395"/>
      <c r="H28" s="374"/>
    </row>
    <row r="29" spans="1:8" ht="12" thickBot="1" x14ac:dyDescent="0.3">
      <c r="A29" s="397" t="s">
        <v>156</v>
      </c>
      <c r="B29" s="53" t="s">
        <v>933</v>
      </c>
      <c r="C29" s="373"/>
      <c r="D29" s="395"/>
    </row>
    <row r="30" spans="1:8" ht="11.5" x14ac:dyDescent="0.25">
      <c r="A30" s="398" t="s">
        <v>258</v>
      </c>
      <c r="B30" s="375">
        <f>'[1]Target Risk'!$D$12/(((('GW-1 Exp'!$K$33*(VLOOKUP(A30,[1]!TOX,33,FALSE))*(VLOOKUP(A30,[1]!TOX,12,FALSE)))))+((('GW-1 Exp'!$K$34*(VLOOKUP(A30,[1]!TOX,33,FALSE))*(VLOOKUP(A30,[1]!TOX,12,FALSE)))))+((('GW-1 Exp'!$K$35*(VLOOKUP(A30,[1]!TOX,33,FALSE))*(VLOOKUP(A30,[1]!TOX,12,FALSE)))))+((('GW-1 Exp'!$K$36*(VLOOKUP(A30,[1]!TOX,33,FALSE))*(VLOOKUP(A30,[1]!TOX,12,FALSE))))))</f>
        <v>1.154641175901608E-2</v>
      </c>
      <c r="C30" s="373"/>
      <c r="D30" s="395"/>
    </row>
    <row r="31" spans="1:8" x14ac:dyDescent="0.2">
      <c r="A31" s="396"/>
      <c r="B31" s="373"/>
      <c r="C31" s="373"/>
      <c r="D31" s="395"/>
    </row>
    <row r="32" spans="1:8" x14ac:dyDescent="0.2">
      <c r="A32" s="396"/>
      <c r="B32" s="373"/>
      <c r="C32" s="373"/>
      <c r="D32" s="395"/>
    </row>
    <row r="33" spans="1:6" ht="11.5" x14ac:dyDescent="0.25">
      <c r="A33" s="394" t="s">
        <v>318</v>
      </c>
      <c r="B33" s="373"/>
      <c r="C33" s="373"/>
      <c r="D33" s="399" t="s">
        <v>318</v>
      </c>
    </row>
    <row r="34" spans="1:6" ht="34.5" x14ac:dyDescent="0.25">
      <c r="A34" s="396"/>
      <c r="B34" s="33" t="s">
        <v>934</v>
      </c>
      <c r="C34" s="373"/>
      <c r="D34" s="400" t="s">
        <v>938</v>
      </c>
    </row>
    <row r="35" spans="1:6" ht="14" thickBot="1" x14ac:dyDescent="0.3">
      <c r="A35" s="397" t="s">
        <v>156</v>
      </c>
      <c r="B35" s="53" t="s">
        <v>933</v>
      </c>
      <c r="C35" s="373"/>
      <c r="D35" s="401" t="s">
        <v>1030</v>
      </c>
    </row>
    <row r="36" spans="1:6" ht="11.5" x14ac:dyDescent="0.25">
      <c r="A36" s="398" t="s">
        <v>258</v>
      </c>
      <c r="B36" s="375">
        <f>'[1]Target Risk'!$D$12/((VLOOKUP(A36,[1]!TOX,15,FALSE))*(VLOOKUP(A36,DWInhale,12,FALSE)))</f>
        <v>0.25405926619734076</v>
      </c>
      <c r="C36" s="373"/>
      <c r="D36" s="402">
        <f>((((('GW-1 Inhale'!$I127)/('GW-1 Exp'!$R$63))*('GW-1 Exp'!$S$63+(EXP(-1*'GW-1 Exp'!$R$63*'GW-1 Exp'!$T$63)/'GW-1 Exp'!$R$63)-(EXP('GW-1 Exp'!$R$63*('GW-1 Exp'!$S$63-'GW-1 Exp'!$T$63))/'GW-1 Exp'!$R$63))*('GW-1 Exp'!$U$63*'GW-1 Exp'!$V$63*'GW-1 Exp'!$W$63*'GW-1 Exp'!$X$63*'GW-1 Exp'!$AB$63/'GW-1 Exp'!$X$63)))+(((('GW-1 Inhale'!$I127)/('GW-1 Exp'!$R$64))*('GW-1 Exp'!$S$64+(EXP(-1*'GW-1 Exp'!$R$64*'GW-1 Exp'!$T$64)/'GW-1 Exp'!$R$64)-(EXP('GW-1 Exp'!$R$64*('GW-1 Exp'!$S$64-'GW-1 Exp'!$T$64))/'GW-1 Exp'!$R$64))*('GW-1 Exp'!$U$64*'GW-1 Exp'!$V$64*'GW-1 Exp'!$W$64*'GW-1 Exp'!$X$64*'GW-1 Exp'!$AB$64/'GW-1 Exp'!$Y$64)))+(((('GW-1 Inhale'!$I127)/('GW-1 Exp'!$R$65))*('GW-1 Exp'!$S$65+(EXP(-1*'GW-1 Exp'!$R$65*'GW-1 Exp'!$T$65)/'GW-1 Exp'!$R$65)-(EXP('GW-1 Exp'!$R$65*('GW-1 Exp'!$S$65-'GW-1 Exp'!$T$65))/'GW-1 Exp'!$R$65))*('GW-1 Exp'!$U$65*'GW-1 Exp'!$V$65*'GW-1 Exp'!$W$65*'GW-1 Exp'!$X$65*'GW-1 Exp'!$AB$65/'GW-1 Exp'!$Y$65)))+(((('GW-1 Inhale'!$I127)/('GW-1 Exp'!$R$66))*('GW-1 Exp'!$S$66+(EXP(-1*'GW-1 Exp'!$R$66*'GW-1 Exp'!$T$66)/'GW-1 Exp'!$R$66)-(EXP('GW-1 Exp'!$R$66*('GW-1 Exp'!$S$66-'GW-1 Exp'!$T$66))/'GW-1 Exp'!$R$66))*('GW-1 Exp'!$U$66*'GW-1 Exp'!$V$66*'GW-1 Exp'!$W$66*'GW-1 Exp'!$X$66*'GW-1 Exp'!$AB$66/'GW-1 Exp'!$Y$66))))</f>
        <v>0.89456578645784535</v>
      </c>
    </row>
    <row r="37" spans="1:6" x14ac:dyDescent="0.2">
      <c r="A37" s="396"/>
      <c r="B37" s="376"/>
      <c r="C37" s="373"/>
      <c r="D37" s="395"/>
    </row>
    <row r="38" spans="1:6" ht="11.5" x14ac:dyDescent="0.25">
      <c r="A38" s="394" t="s">
        <v>38</v>
      </c>
      <c r="B38" s="376"/>
      <c r="C38" s="373"/>
      <c r="D38" s="395"/>
    </row>
    <row r="39" spans="1:6" ht="23" x14ac:dyDescent="0.25">
      <c r="A39" s="396"/>
      <c r="B39" s="51" t="s">
        <v>934</v>
      </c>
      <c r="C39" s="373"/>
      <c r="D39" s="395"/>
    </row>
    <row r="40" spans="1:6" ht="12" thickBot="1" x14ac:dyDescent="0.3">
      <c r="A40" s="397" t="s">
        <v>156</v>
      </c>
      <c r="B40" s="52" t="s">
        <v>933</v>
      </c>
      <c r="C40" s="373"/>
      <c r="D40" s="395"/>
    </row>
    <row r="41" spans="1:6" ht="11.5" x14ac:dyDescent="0.25">
      <c r="A41" s="398" t="s">
        <v>258</v>
      </c>
      <c r="B41" s="375">
        <f>('[1]Target Risk'!$D$12*(VLOOKUP(A41,[1]!TOX,38,FALSE)))/(VLOOKUP(A41,[1]!TOX,12,FALSE)*('GW-1 Exp'!$W$26*'GW-1 Derm'!$AB123+'GW-1 Exp'!$W$27*'GW-1 Derm'!$AC123+'GW-1 Exp'!$W$28*'GW-1 Derm'!$AD123+'GW-1 Exp'!$W$29*'GW-1 Derm'!$AE123))</f>
        <v>8.2302142691839067E-2</v>
      </c>
      <c r="C41" s="373"/>
      <c r="D41" s="395"/>
      <c r="F41" s="849"/>
    </row>
    <row r="42" spans="1:6" x14ac:dyDescent="0.2">
      <c r="A42" s="396"/>
      <c r="B42" s="373"/>
      <c r="C42" s="373"/>
      <c r="D42" s="395"/>
    </row>
    <row r="43" spans="1:6" x14ac:dyDescent="0.2">
      <c r="A43" s="396"/>
      <c r="B43" s="373"/>
      <c r="C43" s="373"/>
      <c r="D43" s="395"/>
    </row>
    <row r="44" spans="1:6" ht="58" thickBot="1" x14ac:dyDescent="0.3">
      <c r="A44" s="403" t="s">
        <v>156</v>
      </c>
      <c r="B44" s="379" t="s">
        <v>931</v>
      </c>
      <c r="C44" s="373"/>
      <c r="D44" s="395"/>
      <c r="F44" s="849"/>
    </row>
    <row r="45" spans="1:6" ht="12" thickBot="1" x14ac:dyDescent="0.3">
      <c r="A45" s="411" t="s">
        <v>258</v>
      </c>
      <c r="B45" s="850">
        <f>1/((1/B30)+(1/B36)+(1/B41))</f>
        <v>9.7377208947078912E-3</v>
      </c>
      <c r="C45" s="404"/>
      <c r="D45" s="405"/>
    </row>
    <row r="46" spans="1:6" ht="10.5" thickTop="1" x14ac:dyDescent="0.2"/>
    <row r="47" spans="1:6" ht="12" x14ac:dyDescent="0.3">
      <c r="A47" s="370" t="s">
        <v>1063</v>
      </c>
    </row>
  </sheetData>
  <sheetProtection sheet="1" objects="1" scenarios="1"/>
  <printOptions horizontalCentered="1"/>
  <pageMargins left="0.45" right="0.45" top="0.75" bottom="0.75" header="0.3" footer="0.3"/>
  <pageSetup scale="85" orientation="portrait" r:id="rId1"/>
  <headerFooter>
    <oddHeader>&amp;C&amp;"-,Bold"MCP Numerical Standards Derivation</oddHeader>
    <oddFooter>&amp;L&amp;"-,Regular"MassDEP&amp;C&amp;"-,Regular"2024&amp;R&amp;"-,Regular"Workbbook: &amp;F
Sheet:  Introduction
Page &amp;P of &amp;N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135"/>
  <sheetViews>
    <sheetView showGridLines="0" showZeros="0" zoomScaleNormal="100" workbookViewId="0">
      <pane xSplit="1" ySplit="6" topLeftCell="P7" activePane="bottomRight" state="frozen"/>
      <selection activeCell="K99" sqref="K99"/>
      <selection pane="topRight" activeCell="K99" sqref="K99"/>
      <selection pane="bottomLeft" activeCell="K99" sqref="K99"/>
      <selection pane="bottomRight" activeCell="A7" sqref="A7"/>
    </sheetView>
  </sheetViews>
  <sheetFormatPr defaultColWidth="9" defaultRowHeight="12.5" x14ac:dyDescent="0.25"/>
  <cols>
    <col min="1" max="1" width="28.9140625" style="55" customWidth="1"/>
    <col min="2" max="2" width="9" style="67"/>
    <col min="3" max="3" width="15.08203125" style="67" bestFit="1" customWidth="1"/>
    <col min="4" max="4" width="9" style="67" bestFit="1" customWidth="1"/>
    <col min="5" max="5" width="10.25" style="67" bestFit="1" customWidth="1"/>
    <col min="6" max="6" width="9" style="67" customWidth="1"/>
    <col min="7" max="7" width="8.6640625" style="67" bestFit="1" customWidth="1"/>
    <col min="8" max="9" width="9" style="67" customWidth="1"/>
    <col min="10" max="10" width="14" style="67" bestFit="1" customWidth="1"/>
    <col min="11" max="11" width="9" style="67" bestFit="1" customWidth="1"/>
    <col min="12" max="12" width="9" style="67" customWidth="1"/>
    <col min="13" max="13" width="15.08203125" style="67" bestFit="1" customWidth="1"/>
    <col min="14" max="15" width="14.4140625" style="67" bestFit="1" customWidth="1"/>
    <col min="16" max="16" width="8.25" style="67" bestFit="1" customWidth="1"/>
    <col min="17" max="17" width="14.4140625" style="67" bestFit="1" customWidth="1"/>
    <col min="18" max="18" width="8.9140625" style="67" bestFit="1" customWidth="1"/>
    <col min="19" max="19" width="9.6640625" style="67" bestFit="1" customWidth="1"/>
    <col min="20" max="20" width="15.25" style="67" bestFit="1" customWidth="1"/>
    <col min="21" max="21" width="8.9140625" style="67" bestFit="1" customWidth="1"/>
    <col min="22" max="22" width="8.25" style="67" bestFit="1" customWidth="1"/>
    <col min="23" max="23" width="15.4140625" style="67" bestFit="1" customWidth="1"/>
    <col min="24" max="16384" width="9" style="55"/>
  </cols>
  <sheetData>
    <row r="1" spans="1:23" x14ac:dyDescent="0.25">
      <c r="A1" s="339"/>
      <c r="B1" s="941"/>
      <c r="C1" s="942"/>
      <c r="D1" s="942"/>
      <c r="E1" s="942"/>
      <c r="F1" s="942"/>
      <c r="G1" s="942"/>
      <c r="H1" s="420"/>
      <c r="I1" s="344"/>
      <c r="J1" s="344"/>
      <c r="K1" s="426"/>
      <c r="L1" s="430"/>
      <c r="M1" s="431"/>
      <c r="N1" s="420"/>
      <c r="O1" s="420" t="s">
        <v>458</v>
      </c>
      <c r="P1" s="420"/>
      <c r="Q1" s="420" t="s">
        <v>452</v>
      </c>
      <c r="R1" s="420"/>
      <c r="S1" s="430"/>
      <c r="T1" s="431"/>
      <c r="U1" s="344"/>
      <c r="V1" s="360"/>
      <c r="W1" s="345"/>
    </row>
    <row r="2" spans="1:23" ht="14" x14ac:dyDescent="0.25">
      <c r="A2" s="340" t="s">
        <v>569</v>
      </c>
      <c r="B2" s="943" t="s">
        <v>1029</v>
      </c>
      <c r="C2" s="944"/>
      <c r="D2" s="944"/>
      <c r="E2" s="944"/>
      <c r="F2" s="944"/>
      <c r="G2" s="944"/>
      <c r="H2" s="421"/>
      <c r="I2" s="73"/>
      <c r="J2" s="73"/>
      <c r="K2" s="427"/>
      <c r="L2" s="910" t="s">
        <v>357</v>
      </c>
      <c r="M2" s="890"/>
      <c r="N2" s="421" t="s">
        <v>721</v>
      </c>
      <c r="O2" s="421" t="s">
        <v>459</v>
      </c>
      <c r="P2" s="421" t="s">
        <v>274</v>
      </c>
      <c r="Q2" s="421" t="s">
        <v>454</v>
      </c>
      <c r="R2" s="421" t="s">
        <v>357</v>
      </c>
      <c r="S2" s="910" t="s">
        <v>284</v>
      </c>
      <c r="T2" s="890"/>
      <c r="U2" s="73" t="s">
        <v>361</v>
      </c>
      <c r="V2" s="346"/>
      <c r="W2" s="347"/>
    </row>
    <row r="3" spans="1:23" ht="30" x14ac:dyDescent="0.25">
      <c r="A3" s="340" t="s">
        <v>272</v>
      </c>
      <c r="B3" s="416" t="s">
        <v>344</v>
      </c>
      <c r="C3" s="70" t="s">
        <v>980</v>
      </c>
      <c r="D3" s="71" t="s">
        <v>983</v>
      </c>
      <c r="E3" s="417" t="s">
        <v>1038</v>
      </c>
      <c r="F3" s="70" t="s">
        <v>919</v>
      </c>
      <c r="G3" s="71"/>
      <c r="H3" s="422" t="s">
        <v>351</v>
      </c>
      <c r="I3" s="910" t="s">
        <v>284</v>
      </c>
      <c r="J3" s="940"/>
      <c r="K3" s="427" t="s">
        <v>155</v>
      </c>
      <c r="L3" s="910" t="s">
        <v>356</v>
      </c>
      <c r="M3" s="890"/>
      <c r="N3" s="421" t="s">
        <v>275</v>
      </c>
      <c r="O3" s="421" t="s">
        <v>460</v>
      </c>
      <c r="P3" s="421" t="s">
        <v>276</v>
      </c>
      <c r="Q3" s="421" t="s">
        <v>453</v>
      </c>
      <c r="R3" s="421" t="s">
        <v>451</v>
      </c>
      <c r="S3" s="910" t="s">
        <v>1047</v>
      </c>
      <c r="T3" s="890"/>
      <c r="U3" s="73" t="s">
        <v>1048</v>
      </c>
      <c r="V3" s="938" t="s">
        <v>272</v>
      </c>
      <c r="W3" s="939"/>
    </row>
    <row r="4" spans="1:23" ht="14" x14ac:dyDescent="0.25">
      <c r="A4" s="341"/>
      <c r="B4" s="449" t="s">
        <v>327</v>
      </c>
      <c r="C4" s="96" t="s">
        <v>328</v>
      </c>
      <c r="D4" s="97" t="s">
        <v>328</v>
      </c>
      <c r="E4" s="774" t="s">
        <v>878</v>
      </c>
      <c r="F4" s="84" t="s">
        <v>358</v>
      </c>
      <c r="G4" s="348"/>
      <c r="H4" s="421" t="s">
        <v>352</v>
      </c>
      <c r="I4" s="910" t="s">
        <v>333</v>
      </c>
      <c r="J4" s="940"/>
      <c r="K4" s="427" t="s">
        <v>356</v>
      </c>
      <c r="L4" s="910" t="s">
        <v>355</v>
      </c>
      <c r="M4" s="890"/>
      <c r="N4" s="421" t="s">
        <v>278</v>
      </c>
      <c r="O4" s="421" t="s">
        <v>461</v>
      </c>
      <c r="P4" s="421" t="s">
        <v>278</v>
      </c>
      <c r="Q4" s="421" t="s">
        <v>278</v>
      </c>
      <c r="R4" s="421" t="s">
        <v>279</v>
      </c>
      <c r="S4" s="910"/>
      <c r="T4" s="890"/>
      <c r="U4" s="73" t="s">
        <v>362</v>
      </c>
      <c r="V4" s="938" t="s">
        <v>336</v>
      </c>
      <c r="W4" s="939"/>
    </row>
    <row r="5" spans="1:23" ht="14" x14ac:dyDescent="0.25">
      <c r="A5" s="341"/>
      <c r="B5" s="449">
        <f>'[1]Target Risk'!D8</f>
        <v>0.2</v>
      </c>
      <c r="C5" s="770">
        <f>'[1]Target Risk'!D12</f>
        <v>9.9999999999999995E-7</v>
      </c>
      <c r="D5" s="771">
        <f>'[1]Target Risk'!D12</f>
        <v>9.9999999999999995E-7</v>
      </c>
      <c r="E5" s="772">
        <f>'[1]Target Risk'!D12</f>
        <v>9.9999999999999995E-7</v>
      </c>
      <c r="F5" s="773" t="s">
        <v>981</v>
      </c>
      <c r="G5" s="349"/>
      <c r="H5" s="421" t="s">
        <v>317</v>
      </c>
      <c r="I5" s="910" t="s">
        <v>267</v>
      </c>
      <c r="J5" s="940"/>
      <c r="K5" s="427" t="s">
        <v>355</v>
      </c>
      <c r="L5" s="432"/>
      <c r="M5" s="433"/>
      <c r="N5" s="421" t="s">
        <v>439</v>
      </c>
      <c r="O5" s="421" t="s">
        <v>1026</v>
      </c>
      <c r="P5" s="421"/>
      <c r="Q5" s="421" t="s">
        <v>281</v>
      </c>
      <c r="R5" s="421"/>
      <c r="S5" s="910"/>
      <c r="T5" s="890"/>
      <c r="U5" s="73" t="s">
        <v>268</v>
      </c>
      <c r="V5" s="938" t="s">
        <v>1031</v>
      </c>
      <c r="W5" s="939"/>
    </row>
    <row r="6" spans="1:23" s="67" customFormat="1" ht="23.5" thickBot="1" x14ac:dyDescent="0.3">
      <c r="A6" s="777" t="s">
        <v>1057</v>
      </c>
      <c r="B6" s="418" t="s">
        <v>1027</v>
      </c>
      <c r="C6" s="79" t="s">
        <v>1027</v>
      </c>
      <c r="D6" s="79" t="s">
        <v>1027</v>
      </c>
      <c r="E6" s="419" t="s">
        <v>979</v>
      </c>
      <c r="F6" s="78" t="s">
        <v>1027</v>
      </c>
      <c r="G6" s="419" t="s">
        <v>360</v>
      </c>
      <c r="H6" s="423" t="s">
        <v>1027</v>
      </c>
      <c r="I6" s="73" t="s">
        <v>1027</v>
      </c>
      <c r="J6" s="73" t="s">
        <v>360</v>
      </c>
      <c r="K6" s="427" t="s">
        <v>1027</v>
      </c>
      <c r="L6" s="432" t="s">
        <v>1027</v>
      </c>
      <c r="M6" s="433" t="s">
        <v>360</v>
      </c>
      <c r="N6" s="423" t="s">
        <v>353</v>
      </c>
      <c r="O6" s="423" t="s">
        <v>353</v>
      </c>
      <c r="P6" s="421" t="s">
        <v>1028</v>
      </c>
      <c r="Q6" s="421" t="s">
        <v>353</v>
      </c>
      <c r="R6" s="423" t="s">
        <v>157</v>
      </c>
      <c r="S6" s="438" t="s">
        <v>157</v>
      </c>
      <c r="T6" s="433" t="s">
        <v>360</v>
      </c>
      <c r="U6" s="73" t="s">
        <v>157</v>
      </c>
      <c r="V6" s="350" t="s">
        <v>157</v>
      </c>
      <c r="W6" s="351" t="s">
        <v>266</v>
      </c>
    </row>
    <row r="7" spans="1:23" x14ac:dyDescent="0.25">
      <c r="A7" s="362" t="s">
        <v>158</v>
      </c>
      <c r="B7" s="357">
        <f>(VLOOKUP(A7,[1]!TOX,8,FALSE)*'[1]Target Risk'!$D$8*'GW-2 Exp'!$G$18*'GW-2 Exp'!$E$18)</f>
        <v>10.000000000000002</v>
      </c>
      <c r="C7" s="412">
        <f>IF(VLOOKUP(A7,[1]!TOX,15,FALSE)=0,0,'[1]Target Risk'!$D$12/(VLOOKUP(A7,[1]!TOX,15,FALSE))*'GW-2 Exp'!$G$26)</f>
        <v>0</v>
      </c>
      <c r="D7" s="357">
        <f>IF(VLOOKUP(A7,[1]!TOX,15,FALSE)=0,0,IF(VLOOKUP(A7,[1]!TOX,36,FALSE)="M",'[1]Target Risk'!$D$12/((VLOOKUP(A7,[1]!TOX,15,FALSE))*(1*('GW-2 Exp'!$H$34))),0))</f>
        <v>0</v>
      </c>
      <c r="E7" s="413">
        <f>IF(VLOOKUP(A7,[1]!TOX,15,FALSE)=0,0,IF(VLOOKUP(A7,[1]!TOX,36,FALSE)="M",'[1]Target Risk'!$D$12/((VLOOKUP(A7,[1]!TOX,15,FALSE))*(1*('GW-2 Exp'!$H$34))),'[1]Target Risk'!$D$12/(VLOOKUP(A7,[1]!TOX,15,FALSE))*'GW-2 Exp'!$G$26))</f>
        <v>0</v>
      </c>
      <c r="F7" s="412">
        <f>IF(E7=0,B7,IF(B7=0,E7, MIN(B7,E7)))</f>
        <v>10.000000000000002</v>
      </c>
      <c r="G7" s="357" t="str">
        <f>IF(F7=0,0,IF(F7=B7,"Noncancer","Cancer"))</f>
        <v>Noncancer</v>
      </c>
      <c r="H7" s="436">
        <f>0.5*(VLOOKUP(A7,[1]!TOX,46,FALSE))</f>
        <v>0</v>
      </c>
      <c r="I7" s="357">
        <f>IF(F7=0,H7,IF(H7=0,F7,MIN(F7,H7)))</f>
        <v>10.000000000000002</v>
      </c>
      <c r="J7" s="357" t="str">
        <f>IF(I7=0,0,IF(I7=H7,"50% Odor Threshold",G7))</f>
        <v>Noncancer</v>
      </c>
      <c r="K7" s="428">
        <f>(VLOOKUP(A7,[1]!TOX,41,FALSE))</f>
        <v>0</v>
      </c>
      <c r="L7" s="412">
        <f>MAX(K7,I7)</f>
        <v>10.000000000000002</v>
      </c>
      <c r="M7" s="434" t="str">
        <f>IF(L7=0,0,IF(L7=K7,"Background Indoor Air",J7))</f>
        <v>Noncancer</v>
      </c>
      <c r="N7" s="424">
        <f>IF(O7=0,0,(VLOOKUP(A7,[2]!CCalcs,12,FALSE)))</f>
        <v>6.4942366439506858E-4</v>
      </c>
      <c r="O7" s="424">
        <f>(VLOOKUP(A7,[2]!CCalcs,4,FALSE))</f>
        <v>1.8733113867546694E-3</v>
      </c>
      <c r="P7" s="436">
        <v>1000</v>
      </c>
      <c r="Q7" s="436">
        <v>1</v>
      </c>
      <c r="R7" s="424">
        <f>IF(OR(L7=0,N7=0,O7=0),0,L7*Q7/(N7*O7*P7))</f>
        <v>8219.812615653851</v>
      </c>
      <c r="S7" s="412">
        <f>IF(R7=0,0,IF(VLOOKUP(A7,[1]!TOX,52,FALSE)=0,MIN(VLOOKUP(A7,[1]!TOX,79,FALSE),R7),MIN(VLOOKUP(A7,[1]!TOX,79,FALSE),R7,(VLOOKUP(A7,[1]!TOX,52,FALSE)))))</f>
        <v>3900</v>
      </c>
      <c r="T7" s="434" t="str">
        <f>IF(R7=0,0,IF(R7=S7,M7,IF(S7=(VLOOKUP(A7,[1]!TOX,52,FALSE)),"Greater than Solubility","Ceiling Value")))</f>
        <v>Greater than Solubility</v>
      </c>
      <c r="U7" s="357">
        <f>IF(R7=0,0,IF(AND([1]Toxicity!$AZ3&gt;0,R7&gt;[1]Toxicity!$AZ3,[1]Toxicity!$AZ3&lt;[1]Toxicity!$CA3),0,MAX(S7,[1]Toxicity!AY3,[1]Toxicity!AN3)))</f>
        <v>0</v>
      </c>
      <c r="V7" s="352"/>
      <c r="W7" s="353" t="str">
        <f>IF(R7=0,"NA",IF(U7=0,"NA, &gt; Solubility",IF(U7=S7,T7,IF(U7=(VLOOKUP(A7,[1]!TOX,40,FALSE)),"Groundwater Background","Water PQL"))))</f>
        <v>NA, &gt; Solubility</v>
      </c>
    </row>
    <row r="8" spans="1:23" x14ac:dyDescent="0.25">
      <c r="A8" s="342" t="s">
        <v>159</v>
      </c>
      <c r="B8" s="356">
        <f>(VLOOKUP(A8,[1]!TOX,8,FALSE)*'[1]Target Risk'!$D$8*'GW-2 Exp'!$G$18*'GW-2 Exp'!$E$18)</f>
        <v>10.000000000000002</v>
      </c>
      <c r="C8" s="414">
        <f>IF(VLOOKUP(A8,[1]!TOX,15,FALSE)=0,0,'[1]Target Risk'!$D$12/(VLOOKUP(A8,[1]!TOX,15,FALSE))*'GW-2 Exp'!$G$26)</f>
        <v>0</v>
      </c>
      <c r="D8" s="356">
        <f>IF(VLOOKUP(A8,[1]!TOX,15,FALSE)=0,0,IF(VLOOKUP(A8,[1]!TOX,36,FALSE)="M",'[1]Target Risk'!$D$12/((VLOOKUP(A8,[1]!TOX,15,FALSE))*(1*('GW-2 Exp'!$H$34))),0))</f>
        <v>0</v>
      </c>
      <c r="E8" s="415">
        <f>IF(VLOOKUP(A8,[1]!TOX,15,FALSE)=0,0,IF(VLOOKUP(A8,[1]!TOX,36,FALSE)="M",'[1]Target Risk'!$D$12/((VLOOKUP(A8,[1]!TOX,15,FALSE))*(1*('GW-2 Exp'!$H$34))),'[1]Target Risk'!$D$12/(VLOOKUP(A8,[1]!TOX,15,FALSE))*'GW-2 Exp'!$G$26))</f>
        <v>0</v>
      </c>
      <c r="F8" s="414">
        <f t="shared" ref="F8:F71" si="0">IF(E8=0,B8,IF(B8=0,E8, MIN(B8,E8)))</f>
        <v>10.000000000000002</v>
      </c>
      <c r="G8" s="356" t="str">
        <f t="shared" ref="G8:G71" si="1">IF(F8=0,0,IF(F8=B8,"Noncancer","Cancer"))</f>
        <v>Noncancer</v>
      </c>
      <c r="H8" s="437">
        <f>0.5*(VLOOKUP(A8,[1]!TOX,46,FALSE))</f>
        <v>0</v>
      </c>
      <c r="I8" s="356">
        <f t="shared" ref="I8:I69" si="2">IF(F8=0,H8,IF(H8=0,F8,MIN(F8,H8)))</f>
        <v>10.000000000000002</v>
      </c>
      <c r="J8" s="356" t="str">
        <f t="shared" ref="J8:J69" si="3">IF(I8=0,0,IF(I8=H8,"50% Odor Threshold",G8))</f>
        <v>Noncancer</v>
      </c>
      <c r="K8" s="429">
        <f>(VLOOKUP(A8,[1]!TOX,41,FALSE))</f>
        <v>0</v>
      </c>
      <c r="L8" s="414">
        <f t="shared" ref="L8:L69" si="4">MAX(K8,I8)</f>
        <v>10.000000000000002</v>
      </c>
      <c r="M8" s="435" t="str">
        <f t="shared" ref="M8:M69" si="5">IF(L8=0,0,IF(L8=K8,"Background Indoor Air",J8))</f>
        <v>Noncancer</v>
      </c>
      <c r="N8" s="425">
        <f>IF(O8=0,0,(VLOOKUP(A8,[2]!CCalcs,12,FALSE)))</f>
        <v>6.8736180106105684E-4</v>
      </c>
      <c r="O8" s="425">
        <f>(VLOOKUP(A8,[2]!CCalcs,4,FALSE))</f>
        <v>1.1569860897677968E-3</v>
      </c>
      <c r="P8" s="437">
        <v>1000</v>
      </c>
      <c r="Q8" s="437">
        <v>1</v>
      </c>
      <c r="R8" s="425">
        <f t="shared" ref="R8:R70" si="6">IF(OR(L8=0,N8=0,O8=0),0,L8*Q8/(N8*O8*P8))</f>
        <v>12574.3767711316</v>
      </c>
      <c r="S8" s="414">
        <f>IF(R8=0,0,IF(VLOOKUP(A8,[1]!TOX,52,FALSE)=0,MIN(VLOOKUP(A8,[1]!TOX,79,FALSE),R8),MIN(VLOOKUP(A8,[1]!TOX,79,FALSE),R8,(VLOOKUP(A8,[1]!TOX,52,FALSE)))))</f>
        <v>12574.3767711316</v>
      </c>
      <c r="T8" s="435" t="str">
        <f>IF(R8=0,0,IF(R8=S8,M8,IF(S8=(VLOOKUP(A8,[1]!TOX,52,FALSE)),"Greater than Solubility","Ceiling Value")))</f>
        <v>Noncancer</v>
      </c>
      <c r="U8" s="356">
        <f>IF(R8=0,0,IF(AND([1]Toxicity!$AZ4&gt;0,R8&gt;[1]Toxicity!$AZ4,[1]Toxicity!$AZ4&lt;[1]Toxicity!$CA4),0,MAX(S8,[1]Toxicity!AY4,[1]Toxicity!AN4)))</f>
        <v>12574.3767711316</v>
      </c>
      <c r="V8" s="354">
        <f>ROUND(U8,-INT(LOG10(ABS(U8))))</f>
        <v>10000</v>
      </c>
      <c r="W8" s="355" t="str">
        <f>IF(R8=0,"NA",IF(U8=0,"NA, &gt; Solubility",IF(U8=S8,T8,IF(U8=(VLOOKUP(A8,[1]!TOX,40,FALSE)),"Groundwater Background","Water PQL"))))</f>
        <v>Noncancer</v>
      </c>
    </row>
    <row r="9" spans="1:23" x14ac:dyDescent="0.25">
      <c r="A9" s="342" t="s">
        <v>160</v>
      </c>
      <c r="B9" s="356">
        <f>(VLOOKUP(A9,[1]!TOX,8,FALSE)*'[1]Target Risk'!$D$8*'GW-2 Exp'!$G$18*'GW-2 Exp'!$E$18)</f>
        <v>160.00000000000003</v>
      </c>
      <c r="C9" s="414">
        <f>IF(VLOOKUP(A9,[1]!TOX,15,FALSE)=0,0,'[1]Target Risk'!$D$12/(VLOOKUP(A9,[1]!TOX,15,FALSE))*'GW-2 Exp'!$G$26)</f>
        <v>0</v>
      </c>
      <c r="D9" s="356">
        <f>IF(VLOOKUP(A9,[1]!TOX,15,FALSE)=0,0,IF(VLOOKUP(A9,[1]!TOX,36,FALSE)="M",'[1]Target Risk'!$D$12/((VLOOKUP(A9,[1]!TOX,15,FALSE))*(1*('GW-2 Exp'!$H$34))),0))</f>
        <v>0</v>
      </c>
      <c r="E9" s="415">
        <f>IF(VLOOKUP(A9,[1]!TOX,15,FALSE)=0,0,IF(VLOOKUP(A9,[1]!TOX,36,FALSE)="M",'[1]Target Risk'!$D$12/((VLOOKUP(A9,[1]!TOX,15,FALSE))*(1*('GW-2 Exp'!$H$34))),'[1]Target Risk'!$D$12/(VLOOKUP(A9,[1]!TOX,15,FALSE))*'GW-2 Exp'!$G$26))</f>
        <v>0</v>
      </c>
      <c r="F9" s="414">
        <f t="shared" si="0"/>
        <v>160.00000000000003</v>
      </c>
      <c r="G9" s="356" t="str">
        <f t="shared" si="1"/>
        <v>Noncancer</v>
      </c>
      <c r="H9" s="437">
        <f>0.5*(VLOOKUP(A9,[1]!TOX,46,FALSE))</f>
        <v>15431</v>
      </c>
      <c r="I9" s="356">
        <f t="shared" si="2"/>
        <v>160.00000000000003</v>
      </c>
      <c r="J9" s="356" t="str">
        <f t="shared" si="3"/>
        <v>Noncancer</v>
      </c>
      <c r="K9" s="429">
        <f>(VLOOKUP(A9,[1]!TOX,41,FALSE))</f>
        <v>91</v>
      </c>
      <c r="L9" s="414">
        <f t="shared" si="4"/>
        <v>160.00000000000003</v>
      </c>
      <c r="M9" s="435" t="str">
        <f t="shared" si="5"/>
        <v>Noncancer</v>
      </c>
      <c r="N9" s="425">
        <f>IF(O9=0,0,(VLOOKUP(A9,[2]!CCalcs,12,FALSE)))</f>
        <v>9.2200199054822101E-4</v>
      </c>
      <c r="O9" s="425">
        <f>(VLOOKUP(A9,[2]!CCalcs,4,FALSE))</f>
        <v>8.6921033693670437E-4</v>
      </c>
      <c r="P9" s="437">
        <v>1000</v>
      </c>
      <c r="Q9" s="437">
        <v>1</v>
      </c>
      <c r="R9" s="425">
        <f t="shared" si="6"/>
        <v>199647.208194776</v>
      </c>
      <c r="S9" s="414">
        <f>IF(R9=0,0,IF(VLOOKUP(A9,[1]!TOX,52,FALSE)=0,MIN(VLOOKUP(A9,[1]!TOX,79,FALSE),R9),MIN(VLOOKUP(A9,[1]!TOX,79,FALSE),R9,(VLOOKUP(A9,[1]!TOX,52,FALSE)))))</f>
        <v>50000</v>
      </c>
      <c r="T9" s="435" t="str">
        <f>IF(R9=0,0,IF(R9=S9,M9,IF(S9=(VLOOKUP(A9,[1]!TOX,52,FALSE)),"Greater than Solubility","Ceiling Value")))</f>
        <v>Ceiling Value</v>
      </c>
      <c r="U9" s="356">
        <f>IF(R9=0,0,IF(AND([1]Toxicity!$AZ5&gt;0,R9&gt;[1]Toxicity!$AZ5,[1]Toxicity!$AZ5&lt;[1]Toxicity!$CA5),0,MAX(S9,[1]Toxicity!AY5,[1]Toxicity!AN5)))</f>
        <v>50000</v>
      </c>
      <c r="V9" s="354">
        <f>ROUND(U9,-INT(LOG10(ABS(U9))))</f>
        <v>50000</v>
      </c>
      <c r="W9" s="355" t="str">
        <f>IF(R9=0,"NA",IF(U9=0,"NA, &gt; Solubility",IF(U9=S9,T9,IF(U9=(VLOOKUP(A9,[1]!TOX,40,FALSE)),"Groundwater Background","Water PQL"))))</f>
        <v>Ceiling Value</v>
      </c>
    </row>
    <row r="10" spans="1:23" x14ac:dyDescent="0.25">
      <c r="A10" s="342" t="s">
        <v>161</v>
      </c>
      <c r="B10" s="356">
        <f>(VLOOKUP(A10,[1]!TOX,8,FALSE)*'[1]Target Risk'!$D$8*'GW-2 Exp'!$G$18*'GW-2 Exp'!$E$18)</f>
        <v>2.2000000000000002E-2</v>
      </c>
      <c r="C10" s="414">
        <f>IF(VLOOKUP(A10,[1]!TOX,15,FALSE)=0,0,'[1]Target Risk'!$D$12/(VLOOKUP(A10,[1]!TOX,15,FALSE))*'GW-2 Exp'!$G$26)</f>
        <v>4.7619047619047624E-4</v>
      </c>
      <c r="D10" s="356">
        <f>IF(VLOOKUP(A10,[1]!TOX,15,FALSE)=0,0,IF(VLOOKUP(A10,[1]!TOX,36,FALSE)="M",'[1]Target Risk'!$D$12/((VLOOKUP(A10,[1]!TOX,15,FALSE))*(1*('GW-2 Exp'!$H$34))),0))</f>
        <v>0</v>
      </c>
      <c r="E10" s="415">
        <f>IF(VLOOKUP(A10,[1]!TOX,15,FALSE)=0,0,IF(VLOOKUP(A10,[1]!TOX,36,FALSE)="M",'[1]Target Risk'!$D$12/((VLOOKUP(A10,[1]!TOX,15,FALSE))*(1*('GW-2 Exp'!$H$34))),'[1]Target Risk'!$D$12/(VLOOKUP(A10,[1]!TOX,15,FALSE))*'GW-2 Exp'!$G$26))</f>
        <v>4.7619047619047624E-4</v>
      </c>
      <c r="F10" s="414">
        <f t="shared" si="0"/>
        <v>4.7619047619047624E-4</v>
      </c>
      <c r="G10" s="356" t="str">
        <f t="shared" si="1"/>
        <v>Cancer</v>
      </c>
      <c r="H10" s="437">
        <f>0.5*(VLOOKUP(A10,[1]!TOX,46,FALSE))</f>
        <v>131.5</v>
      </c>
      <c r="I10" s="356">
        <f t="shared" si="2"/>
        <v>4.7619047619047624E-4</v>
      </c>
      <c r="J10" s="356" t="str">
        <f t="shared" si="3"/>
        <v>Cancer</v>
      </c>
      <c r="K10" s="429">
        <f>(VLOOKUP(A10,[1]!TOX,41,FALSE))</f>
        <v>0</v>
      </c>
      <c r="L10" s="414">
        <f t="shared" si="4"/>
        <v>4.7619047619047624E-4</v>
      </c>
      <c r="M10" s="435" t="str">
        <f t="shared" si="5"/>
        <v>Cancer</v>
      </c>
      <c r="N10" s="425">
        <f>IF(O10=0,0,(VLOOKUP(A10,[2]!CCalcs,12,FALSE)))</f>
        <v>6.1056856333372616E-4</v>
      </c>
      <c r="O10" s="425">
        <f>(VLOOKUP(A10,[2]!CCalcs,4,FALSE))</f>
        <v>3.6334303808158267E-4</v>
      </c>
      <c r="P10" s="437">
        <v>1000</v>
      </c>
      <c r="Q10" s="437">
        <v>1</v>
      </c>
      <c r="R10" s="425">
        <f t="shared" si="6"/>
        <v>2.1464927318345226</v>
      </c>
      <c r="S10" s="414">
        <f>IF(R10=0,0,IF(VLOOKUP(A10,[1]!TOX,52,FALSE)=0,MIN(VLOOKUP(A10,[1]!TOX,79,FALSE),R10),MIN(VLOOKUP(A10,[1]!TOX,79,FALSE),R10,(VLOOKUP(A10,[1]!TOX,52,FALSE)))))</f>
        <v>2.1464927318345226</v>
      </c>
      <c r="T10" s="435" t="str">
        <f>IF(R10=0,0,IF(R10=S10,M10,IF(S10=(VLOOKUP(A10,[1]!TOX,52,FALSE)),"Greater than Solubility","Ceiling Value")))</f>
        <v>Cancer</v>
      </c>
      <c r="U10" s="356">
        <f>IF(R10=0,0,IF(AND([1]Toxicity!$AZ6&gt;0,R10&gt;[1]Toxicity!$AZ6,[1]Toxicity!$AZ6&lt;[1]Toxicity!$CA6),0,MAX(S10,[1]Toxicity!AY6,[1]Toxicity!AN6)))</f>
        <v>2.1464927318345226</v>
      </c>
      <c r="V10" s="354">
        <f>ROUND(U10,-INT(LOG10(ABS(U10))))</f>
        <v>2</v>
      </c>
      <c r="W10" s="355" t="str">
        <f>IF(R10=0,"NA",IF(U10=0,"NA, &gt; Solubility",IF(U10=S10,T10,IF(U10=(VLOOKUP(A10,[1]!TOX,40,FALSE)),"Groundwater Background","Water PQL"))))</f>
        <v>Cancer</v>
      </c>
    </row>
    <row r="11" spans="1:23" x14ac:dyDescent="0.25">
      <c r="A11" s="342" t="s">
        <v>162</v>
      </c>
      <c r="B11" s="356">
        <f>(VLOOKUP(A11,[1]!TOX,8,FALSE)*'[1]Target Risk'!$D$8*'GW-2 Exp'!$G$18*'GW-2 Exp'!$E$18)</f>
        <v>10.000000000000002</v>
      </c>
      <c r="C11" s="414">
        <f>IF(VLOOKUP(A11,[1]!TOX,15,FALSE)=0,0,'[1]Target Risk'!$D$12/(VLOOKUP(A11,[1]!TOX,15,FALSE))*'GW-2 Exp'!$G$26)</f>
        <v>0</v>
      </c>
      <c r="D11" s="356">
        <f>IF(VLOOKUP(A11,[1]!TOX,15,FALSE)=0,0,IF(VLOOKUP(A11,[1]!TOX,36,FALSE)="M",'[1]Target Risk'!$D$12/((VLOOKUP(A11,[1]!TOX,15,FALSE))*(1*('GW-2 Exp'!$H$34))),0))</f>
        <v>0</v>
      </c>
      <c r="E11" s="415">
        <f>IF(VLOOKUP(A11,[1]!TOX,15,FALSE)=0,0,IF(VLOOKUP(A11,[1]!TOX,36,FALSE)="M",'[1]Target Risk'!$D$12/((VLOOKUP(A11,[1]!TOX,15,FALSE))*(1*('GW-2 Exp'!$H$34))),'[1]Target Risk'!$D$12/(VLOOKUP(A11,[1]!TOX,15,FALSE))*'GW-2 Exp'!$G$26))</f>
        <v>0</v>
      </c>
      <c r="F11" s="414">
        <f t="shared" si="0"/>
        <v>10.000000000000002</v>
      </c>
      <c r="G11" s="356" t="str">
        <f t="shared" si="1"/>
        <v>Noncancer</v>
      </c>
      <c r="H11" s="437">
        <f>0.5*(VLOOKUP(A11,[1]!TOX,46,FALSE))</f>
        <v>0</v>
      </c>
      <c r="I11" s="356">
        <f t="shared" si="2"/>
        <v>10.000000000000002</v>
      </c>
      <c r="J11" s="356" t="str">
        <f t="shared" si="3"/>
        <v>Noncancer</v>
      </c>
      <c r="K11" s="429">
        <f>(VLOOKUP(A11,[1]!TOX,41,FALSE))</f>
        <v>0</v>
      </c>
      <c r="L11" s="414">
        <f t="shared" si="4"/>
        <v>10.000000000000002</v>
      </c>
      <c r="M11" s="435" t="str">
        <f t="shared" si="5"/>
        <v>Noncancer</v>
      </c>
      <c r="N11" s="425">
        <f>IF(O11=0,0,(VLOOKUP(A11,[2]!CCalcs,12,FALSE)))</f>
        <v>7.5384352440639984E-4</v>
      </c>
      <c r="O11" s="425">
        <f>(VLOOKUP(A11,[2]!CCalcs,4,FALSE))</f>
        <v>4.6373329106930671E-4</v>
      </c>
      <c r="P11" s="437">
        <v>1000</v>
      </c>
      <c r="Q11" s="437">
        <v>1</v>
      </c>
      <c r="R11" s="425">
        <f t="shared" si="6"/>
        <v>28605.564120356401</v>
      </c>
      <c r="S11" s="414">
        <f>IF(R11=0,0,IF(VLOOKUP(A11,[1]!TOX,52,FALSE)=0,MIN(VLOOKUP(A11,[1]!TOX,79,FALSE),R11),MIN(VLOOKUP(A11,[1]!TOX,79,FALSE),R11,(VLOOKUP(A11,[1]!TOX,52,FALSE)))))</f>
        <v>43.4</v>
      </c>
      <c r="T11" s="435" t="str">
        <f>IF(R11=0,0,IF(R11=S11,M11,IF(S11=(VLOOKUP(A11,[1]!TOX,52,FALSE)),"Greater than Solubility","Ceiling Value")))</f>
        <v>Greater than Solubility</v>
      </c>
      <c r="U11" s="356">
        <f>IF(R11=0,0,IF(AND([1]Toxicity!$AZ7&gt;0,R11&gt;[1]Toxicity!$AZ7,[1]Toxicity!$AZ7&lt;[1]Toxicity!$CA7),0,MAX(S11,[1]Toxicity!AY7,[1]Toxicity!AN7)))</f>
        <v>0</v>
      </c>
      <c r="V11" s="354"/>
      <c r="W11" s="355" t="str">
        <f>IF(R11=0,"NA",IF(U11=0,"NA, &gt; Solubility",IF(U11=S11,T11,IF(U11=(VLOOKUP(A11,[1]!TOX,40,FALSE)),"Groundwater Background","Water PQL"))))</f>
        <v>NA, &gt; Solubility</v>
      </c>
    </row>
    <row r="12" spans="1:23" x14ac:dyDescent="0.25">
      <c r="A12" s="342" t="s">
        <v>163</v>
      </c>
      <c r="B12" s="356">
        <f>(VLOOKUP(A12,[1]!TOX,8,FALSE)*'[1]Target Risk'!$D$8*'GW-2 Exp'!$G$18*'GW-2 Exp'!$E$18)</f>
        <v>0.04</v>
      </c>
      <c r="C12" s="414">
        <f>IF(VLOOKUP(A12,[1]!TOX,15,FALSE)=0,0,'[1]Target Risk'!$D$12/(VLOOKUP(A12,[1]!TOX,15,FALSE))*'GW-2 Exp'!$G$26)</f>
        <v>0</v>
      </c>
      <c r="D12" s="356">
        <f>IF(VLOOKUP(A12,[1]!TOX,15,FALSE)=0,0,IF(VLOOKUP(A12,[1]!TOX,36,FALSE)="M",'[1]Target Risk'!$D$12/((VLOOKUP(A12,[1]!TOX,15,FALSE))*(1*('GW-2 Exp'!$H$34))),0))</f>
        <v>0</v>
      </c>
      <c r="E12" s="415">
        <f>IF(VLOOKUP(A12,[1]!TOX,15,FALSE)=0,0,IF(VLOOKUP(A12,[1]!TOX,36,FALSE)="M",'[1]Target Risk'!$D$12/((VLOOKUP(A12,[1]!TOX,15,FALSE))*(1*('GW-2 Exp'!$H$34))),'[1]Target Risk'!$D$12/(VLOOKUP(A12,[1]!TOX,15,FALSE))*'GW-2 Exp'!$G$26))</f>
        <v>0</v>
      </c>
      <c r="F12" s="414">
        <f t="shared" si="0"/>
        <v>0.04</v>
      </c>
      <c r="G12" s="356" t="str">
        <f>IF(F12=0,0,IF(F12=B12,"Noncancer","Cancer"))</f>
        <v>Noncancer</v>
      </c>
      <c r="H12" s="437">
        <f>0.5*(VLOOKUP(A12,[1]!TOX,46,FALSE))</f>
        <v>0</v>
      </c>
      <c r="I12" s="356">
        <f t="shared" si="2"/>
        <v>0.04</v>
      </c>
      <c r="J12" s="356" t="str">
        <f t="shared" si="3"/>
        <v>Noncancer</v>
      </c>
      <c r="K12" s="429">
        <f>(VLOOKUP(A12,[1]!TOX,41,FALSE))</f>
        <v>0</v>
      </c>
      <c r="L12" s="414">
        <f t="shared" si="4"/>
        <v>0.04</v>
      </c>
      <c r="M12" s="435" t="str">
        <f t="shared" si="5"/>
        <v>Noncancer</v>
      </c>
      <c r="N12" s="425">
        <f>IF(O12=0,0,(VLOOKUP(A12,[2]!CCalcs,12,FALSE)))</f>
        <v>0</v>
      </c>
      <c r="O12" s="425">
        <f>(VLOOKUP(A12,[2]!CCalcs,4,FALSE))</f>
        <v>0</v>
      </c>
      <c r="P12" s="437">
        <v>1000</v>
      </c>
      <c r="Q12" s="437">
        <v>1</v>
      </c>
      <c r="R12" s="425">
        <f t="shared" si="6"/>
        <v>0</v>
      </c>
      <c r="S12" s="414">
        <f>IF(R12=0,0,IF(VLOOKUP(A12,[1]!TOX,52,FALSE)=0,MIN(VLOOKUP(A12,[1]!TOX,79,FALSE),R12),MIN(VLOOKUP(A12,[1]!TOX,79,FALSE),R12,(VLOOKUP(A12,[1]!TOX,52,FALSE)))))</f>
        <v>0</v>
      </c>
      <c r="T12" s="435">
        <f>IF(R12=0,0,IF(R12=S12,M12,IF(S12=(VLOOKUP(A12,[1]!TOX,52,FALSE)),"Greater than Solubility","Ceiling Value")))</f>
        <v>0</v>
      </c>
      <c r="U12" s="356">
        <f>IF(R12=0,0,IF(AND([1]Toxicity!$AZ8&gt;0,R12&gt;[1]Toxicity!$AZ8,[1]Toxicity!$AZ8&lt;[1]Toxicity!$CA8),0,MAX(S12,[1]Toxicity!AY8,[1]Toxicity!AN8)))</f>
        <v>0</v>
      </c>
      <c r="V12" s="354">
        <f>U12</f>
        <v>0</v>
      </c>
      <c r="W12" s="355" t="str">
        <f>IF(R12=0,"NA",IF(U12=0,"NA, &gt; Solubility",IF(U12=S12,T12,IF(U12=(VLOOKUP(A12,[1]!TOX,40,FALSE)),"Groundwater Background","Water PQL"))))</f>
        <v>NA</v>
      </c>
    </row>
    <row r="13" spans="1:23" x14ac:dyDescent="0.25">
      <c r="A13" s="342" t="s">
        <v>164</v>
      </c>
      <c r="B13" s="356">
        <f>(VLOOKUP(A13,[1]!TOX,8,FALSE)*'[1]Target Risk'!$D$8*'GW-2 Exp'!$G$18*'GW-2 Exp'!$E$18)</f>
        <v>4.000000000000001E-3</v>
      </c>
      <c r="C13" s="414">
        <f>IF(VLOOKUP(A13,[1]!TOX,15,FALSE)=0,0,'[1]Target Risk'!$D$12/(VLOOKUP(A13,[1]!TOX,15,FALSE))*'GW-2 Exp'!$G$26)</f>
        <v>7.7777777777777784E-4</v>
      </c>
      <c r="D13" s="356">
        <f>IF(VLOOKUP(A13,[1]!TOX,15,FALSE)=0,0,IF(VLOOKUP(A13,[1]!TOX,36,FALSE)="M",'[1]Target Risk'!$D$12/((VLOOKUP(A13,[1]!TOX,15,FALSE))*(1*('GW-2 Exp'!$H$34))),0))</f>
        <v>0</v>
      </c>
      <c r="E13" s="415">
        <f>IF(VLOOKUP(A13,[1]!TOX,15,FALSE)=0,0,IF(VLOOKUP(A13,[1]!TOX,36,FALSE)="M",'[1]Target Risk'!$D$12/((VLOOKUP(A13,[1]!TOX,15,FALSE))*(1*('GW-2 Exp'!$H$34))),'[1]Target Risk'!$D$12/(VLOOKUP(A13,[1]!TOX,15,FALSE))*'GW-2 Exp'!$G$26))</f>
        <v>7.7777777777777784E-4</v>
      </c>
      <c r="F13" s="414">
        <f t="shared" si="0"/>
        <v>7.7777777777777784E-4</v>
      </c>
      <c r="G13" s="356" t="str">
        <f t="shared" si="1"/>
        <v>Cancer</v>
      </c>
      <c r="H13" s="437">
        <f>0.5*(VLOOKUP(A13,[1]!TOX,46,FALSE))</f>
        <v>0</v>
      </c>
      <c r="I13" s="356">
        <f t="shared" si="2"/>
        <v>7.7777777777777784E-4</v>
      </c>
      <c r="J13" s="356" t="str">
        <f t="shared" si="3"/>
        <v>Cancer</v>
      </c>
      <c r="K13" s="429">
        <f>(VLOOKUP(A13,[1]!TOX,41,FALSE))</f>
        <v>0</v>
      </c>
      <c r="L13" s="414">
        <f t="shared" si="4"/>
        <v>7.7777777777777784E-4</v>
      </c>
      <c r="M13" s="435" t="str">
        <f t="shared" si="5"/>
        <v>Cancer</v>
      </c>
      <c r="N13" s="425">
        <f>IF(O13=0,0,(VLOOKUP(A13,[2]!CCalcs,12,FALSE)))</f>
        <v>0</v>
      </c>
      <c r="O13" s="425">
        <f>(VLOOKUP(A13,[2]!CCalcs,4,FALSE))</f>
        <v>0</v>
      </c>
      <c r="P13" s="437">
        <v>1000</v>
      </c>
      <c r="Q13" s="437">
        <v>1</v>
      </c>
      <c r="R13" s="425">
        <f t="shared" si="6"/>
        <v>0</v>
      </c>
      <c r="S13" s="414">
        <f>IF(R13=0,0,IF(VLOOKUP(A13,[1]!TOX,52,FALSE)=0,MIN(VLOOKUP(A13,[1]!TOX,79,FALSE),R13),MIN(VLOOKUP(A13,[1]!TOX,79,FALSE),R13,(VLOOKUP(A13,[1]!TOX,52,FALSE)))))</f>
        <v>0</v>
      </c>
      <c r="T13" s="435">
        <f>IF(R13=0,0,IF(R13=S13,M13,IF(S13=(VLOOKUP(A13,[1]!TOX,52,FALSE)),"Greater than Solubility","Ceiling Value")))</f>
        <v>0</v>
      </c>
      <c r="U13" s="356">
        <f>IF(R13=0,0,IF(AND([1]Toxicity!$AZ9&gt;0,R13&gt;[1]Toxicity!$AZ9,[1]Toxicity!$AZ9&lt;[1]Toxicity!$CA9),0,MAX(S13,[1]Toxicity!AY9,[1]Toxicity!AN9)))</f>
        <v>0</v>
      </c>
      <c r="V13" s="354">
        <f>U13</f>
        <v>0</v>
      </c>
      <c r="W13" s="355" t="str">
        <f>IF(R13=0,"NA",IF(U13=0,"NA, &gt; Solubility",IF(U13=S13,T13,IF(U13=(VLOOKUP(A13,[1]!TOX,40,FALSE)),"Groundwater Background","Water PQL"))))</f>
        <v>NA</v>
      </c>
    </row>
    <row r="14" spans="1:23" x14ac:dyDescent="0.25">
      <c r="A14" s="342" t="s">
        <v>166</v>
      </c>
      <c r="B14" s="356">
        <f>(VLOOKUP(A14,[1]!TOX,8,FALSE)*'[1]Target Risk'!$D$8*'GW-2 Exp'!$G$18*'GW-2 Exp'!$E$18)</f>
        <v>0.1</v>
      </c>
      <c r="C14" s="414">
        <f>IF(VLOOKUP(A14,[1]!TOX,15,FALSE)=0,0,'[1]Target Risk'!$D$12/(VLOOKUP(A14,[1]!TOX,15,FALSE))*'GW-2 Exp'!$G$26)</f>
        <v>0</v>
      </c>
      <c r="D14" s="356">
        <f>IF(VLOOKUP(A14,[1]!TOX,15,FALSE)=0,0,IF(VLOOKUP(A14,[1]!TOX,36,FALSE)="M",'[1]Target Risk'!$D$12/((VLOOKUP(A14,[1]!TOX,15,FALSE))*(1*('GW-2 Exp'!$H$34))),0))</f>
        <v>0</v>
      </c>
      <c r="E14" s="415">
        <f>IF(VLOOKUP(A14,[1]!TOX,15,FALSE)=0,0,IF(VLOOKUP(A14,[1]!TOX,36,FALSE)="M",'[1]Target Risk'!$D$12/((VLOOKUP(A14,[1]!TOX,15,FALSE))*(1*('GW-2 Exp'!$H$34))),'[1]Target Risk'!$D$12/(VLOOKUP(A14,[1]!TOX,15,FALSE))*'GW-2 Exp'!$G$26))</f>
        <v>0</v>
      </c>
      <c r="F14" s="414">
        <f t="shared" si="0"/>
        <v>0.1</v>
      </c>
      <c r="G14" s="356" t="str">
        <f t="shared" si="1"/>
        <v>Noncancer</v>
      </c>
      <c r="H14" s="437">
        <f>0.5*(VLOOKUP(A14,[1]!TOX,46,FALSE))</f>
        <v>0</v>
      </c>
      <c r="I14" s="356">
        <f t="shared" si="2"/>
        <v>0.1</v>
      </c>
      <c r="J14" s="356" t="str">
        <f t="shared" si="3"/>
        <v>Noncancer</v>
      </c>
      <c r="K14" s="429">
        <f>(VLOOKUP(A14,[1]!TOX,41,FALSE))</f>
        <v>0</v>
      </c>
      <c r="L14" s="414">
        <f t="shared" si="4"/>
        <v>0.1</v>
      </c>
      <c r="M14" s="435" t="str">
        <f t="shared" si="5"/>
        <v>Noncancer</v>
      </c>
      <c r="N14" s="425">
        <f>IF(O14=0,0,(VLOOKUP(A14,[2]!CCalcs,12,FALSE)))</f>
        <v>0</v>
      </c>
      <c r="O14" s="425">
        <f>(VLOOKUP(A14,[2]!CCalcs,4,FALSE))</f>
        <v>0</v>
      </c>
      <c r="P14" s="437">
        <v>1000</v>
      </c>
      <c r="Q14" s="437">
        <v>1</v>
      </c>
      <c r="R14" s="425">
        <f t="shared" si="6"/>
        <v>0</v>
      </c>
      <c r="S14" s="414">
        <f>IF(R14=0,0,IF(VLOOKUP(A14,[1]!TOX,52,FALSE)=0,MIN(VLOOKUP(A14,[1]!TOX,79,FALSE),R14),MIN(VLOOKUP(A14,[1]!TOX,79,FALSE),R14,(VLOOKUP(A14,[1]!TOX,52,FALSE)))))</f>
        <v>0</v>
      </c>
      <c r="T14" s="435">
        <f>IF(R14=0,0,IF(R14=S14,M14,IF(S14=(VLOOKUP(A14,[1]!TOX,52,FALSE)),"Greater than Solubility","Ceiling Value")))</f>
        <v>0</v>
      </c>
      <c r="U14" s="356">
        <f>IF(R14=0,0,IF(AND([1]Toxicity!$AZ10&gt;0,R14&gt;[1]Toxicity!$AZ10,[1]Toxicity!$AZ10&lt;[1]Toxicity!$CA10),0,MAX(S14,[1]Toxicity!AY10,[1]Toxicity!AN10)))</f>
        <v>0</v>
      </c>
      <c r="V14" s="354">
        <f>U14</f>
        <v>0</v>
      </c>
      <c r="W14" s="355" t="str">
        <f>IF(R14=0,"NA",IF(U14=0,"NA, &gt; Solubility",IF(U14=S14,T14,IF(U14=(VLOOKUP(A14,[1]!TOX,40,FALSE)),"Groundwater Background","Water PQL"))))</f>
        <v>NA</v>
      </c>
    </row>
    <row r="15" spans="1:23" x14ac:dyDescent="0.25">
      <c r="A15" s="342" t="s">
        <v>167</v>
      </c>
      <c r="B15" s="356">
        <f>(VLOOKUP(A15,[1]!TOX,8,FALSE)*'[1]Target Risk'!$D$8*'GW-2 Exp'!$G$18*'GW-2 Exp'!$E$18)</f>
        <v>0.60000000000000009</v>
      </c>
      <c r="C15" s="414">
        <f>IF(VLOOKUP(A15,[1]!TOX,15,FALSE)=0,0,'[1]Target Risk'!$D$12/(VLOOKUP(A15,[1]!TOX,15,FALSE))*'GW-2 Exp'!$G$26)</f>
        <v>0.29914529914529914</v>
      </c>
      <c r="D15" s="356">
        <f>IF(VLOOKUP(A15,[1]!TOX,15,FALSE)=0,0,IF(VLOOKUP(A15,[1]!TOX,36,FALSE)="M",'[1]Target Risk'!$D$12/((VLOOKUP(A15,[1]!TOX,15,FALSE))*(1*('GW-2 Exp'!$H$34))),0))</f>
        <v>0</v>
      </c>
      <c r="E15" s="415">
        <f>IF(VLOOKUP(A15,[1]!TOX,15,FALSE)=0,0,IF(VLOOKUP(A15,[1]!TOX,36,FALSE)="M",'[1]Target Risk'!$D$12/((VLOOKUP(A15,[1]!TOX,15,FALSE))*(1*('GW-2 Exp'!$H$34))),'[1]Target Risk'!$D$12/(VLOOKUP(A15,[1]!TOX,15,FALSE))*'GW-2 Exp'!$G$26))</f>
        <v>0.29914529914529914</v>
      </c>
      <c r="F15" s="414">
        <f t="shared" si="0"/>
        <v>0.29914529914529914</v>
      </c>
      <c r="G15" s="356" t="str">
        <f t="shared" si="1"/>
        <v>Cancer</v>
      </c>
      <c r="H15" s="437">
        <f>0.5*(VLOOKUP(A15,[1]!TOX,46,FALSE))</f>
        <v>2445</v>
      </c>
      <c r="I15" s="356">
        <f t="shared" si="2"/>
        <v>0.29914529914529914</v>
      </c>
      <c r="J15" s="356" t="str">
        <f t="shared" si="3"/>
        <v>Cancer</v>
      </c>
      <c r="K15" s="429">
        <f>(VLOOKUP(A15,[1]!TOX,41,FALSE))</f>
        <v>11</v>
      </c>
      <c r="L15" s="414">
        <f t="shared" si="4"/>
        <v>11</v>
      </c>
      <c r="M15" s="435" t="str">
        <f t="shared" si="5"/>
        <v>Background Indoor Air</v>
      </c>
      <c r="N15" s="425">
        <f>IF(O15=0,0,(VLOOKUP(A15,[2]!CCalcs,12,FALSE)))</f>
        <v>7.8146559607602053E-4</v>
      </c>
      <c r="O15" s="425">
        <f>(VLOOKUP(A15,[2]!CCalcs,4,FALSE))</f>
        <v>0.11554680335432464</v>
      </c>
      <c r="P15" s="437">
        <v>1000</v>
      </c>
      <c r="Q15" s="437">
        <v>10</v>
      </c>
      <c r="R15" s="425">
        <f t="shared" si="6"/>
        <v>1218.2176490066629</v>
      </c>
      <c r="S15" s="414">
        <f>IF(R15=0,0,IF(VLOOKUP(A15,[1]!TOX,52,FALSE)=0,MIN(VLOOKUP(A15,[1]!TOX,79,FALSE),R15),MIN(VLOOKUP(A15,[1]!TOX,79,FALSE),R15,(VLOOKUP(A15,[1]!TOX,52,FALSE)))))</f>
        <v>1218.2176490066629</v>
      </c>
      <c r="T15" s="435" t="str">
        <f>IF(R15=0,0,IF(R15=S15,M15,IF(S15=(VLOOKUP(A15,[1]!TOX,52,FALSE)),"Greater than Solubility","Ceiling Value")))</f>
        <v>Background Indoor Air</v>
      </c>
      <c r="U15" s="356">
        <f>IF(R15=0,0,IF(AND([1]Toxicity!$AZ11&gt;0,R15&gt;[1]Toxicity!$AZ11,[1]Toxicity!$AZ11&lt;[1]Toxicity!$CA11),0,MAX(S15,[1]Toxicity!AY11,[1]Toxicity!AN11)))</f>
        <v>1218.2176490066629</v>
      </c>
      <c r="V15" s="354">
        <f>ROUND(U15,-INT(LOG10(ABS(U15))))</f>
        <v>1000</v>
      </c>
      <c r="W15" s="355" t="str">
        <f>IF(R15=0,"NA",IF(U15=0,"NA, &gt; Solubility",IF(U15=S15,T15,IF(U15=(VLOOKUP(A15,[1]!TOX,40,FALSE)),"Groundwater Background","Water PQL"))))</f>
        <v>Background Indoor Air</v>
      </c>
    </row>
    <row r="16" spans="1:23" x14ac:dyDescent="0.25">
      <c r="A16" s="342" t="s">
        <v>168</v>
      </c>
      <c r="B16" s="356">
        <f>(VLOOKUP(A16,[1]!TOX,8,FALSE)*'[1]Target Risk'!$D$8*'GW-2 Exp'!$G$18*'GW-2 Exp'!$E$18)</f>
        <v>10.000000000000002</v>
      </c>
      <c r="C16" s="759">
        <f>IF(VLOOKUP(A16,[1]!TOX,15,FALSE)=0,0,'[1]Target Risk'!$D$12/(VLOOKUP(A16,[1]!TOX,15,FALSE))*'GW-2 Exp'!$G$26)</f>
        <v>3.888888888888889E-2</v>
      </c>
      <c r="D16" s="356">
        <f>IF(VLOOKUP(A16,[1]!TOX,15,FALSE)=0,0,IF(VLOOKUP(A16,[1]!TOX,36,FALSE)="M",'[1]Target Risk'!$D$12/((VLOOKUP(A16,[1]!TOX,15,FALSE))*(1*('GW-2 Exp'!$H$34))),0))</f>
        <v>1.5350877192982457E-2</v>
      </c>
      <c r="E16" s="415">
        <f>IF(VLOOKUP(A16,[1]!TOX,15,FALSE)=0,0,IF(VLOOKUP(A16,[1]!TOX,36,FALSE)="M",'[1]Target Risk'!$D$12/((VLOOKUP(A16,[1]!TOX,15,FALSE))*(1*('GW-2 Exp'!$H$34))),'[1]Target Risk'!$D$12/(VLOOKUP(A16,[1]!TOX,15,FALSE))*'GW-2 Exp'!$G$26))</f>
        <v>1.5350877192982457E-2</v>
      </c>
      <c r="F16" s="414">
        <f t="shared" si="0"/>
        <v>1.5350877192982457E-2</v>
      </c>
      <c r="G16" s="356" t="str">
        <f t="shared" si="1"/>
        <v>Cancer</v>
      </c>
      <c r="H16" s="437">
        <f>0.5*(VLOOKUP(A16,[1]!TOX,46,FALSE))</f>
        <v>0</v>
      </c>
      <c r="I16" s="356">
        <f t="shared" si="2"/>
        <v>1.5350877192982457E-2</v>
      </c>
      <c r="J16" s="356" t="str">
        <f t="shared" si="3"/>
        <v>Cancer</v>
      </c>
      <c r="K16" s="429">
        <f>(VLOOKUP(A16,[1]!TOX,41,FALSE))</f>
        <v>0</v>
      </c>
      <c r="L16" s="414">
        <f t="shared" si="4"/>
        <v>1.5350877192982457E-2</v>
      </c>
      <c r="M16" s="435" t="str">
        <f t="shared" si="5"/>
        <v>Cancer</v>
      </c>
      <c r="N16" s="425">
        <f>IF(O16=0,0,(VLOOKUP(A16,[2]!CCalcs,12,FALSE)))</f>
        <v>1.0204442971658836E-3</v>
      </c>
      <c r="O16" s="425">
        <f>(VLOOKUP(A16,[2]!CCalcs,4,FALSE))</f>
        <v>7.5461530426650046E-5</v>
      </c>
      <c r="P16" s="437">
        <v>1000</v>
      </c>
      <c r="Q16" s="437">
        <v>1</v>
      </c>
      <c r="R16" s="425">
        <f t="shared" si="6"/>
        <v>199.35093896812171</v>
      </c>
      <c r="S16" s="414">
        <f>IF(R16=0,0,IF(VLOOKUP(A16,[1]!TOX,52,FALSE)=0,MIN(VLOOKUP(A16,[1]!TOX,79,FALSE),R16),MIN(VLOOKUP(A16,[1]!TOX,79,FALSE),R16,(VLOOKUP(A16,[1]!TOX,52,FALSE)))))</f>
        <v>9.4</v>
      </c>
      <c r="T16" s="435" t="str">
        <f>IF(R16=0,0,IF(R16=S16,M16,IF(S16=(VLOOKUP(A16,[1]!TOX,52,FALSE)),"Greater than Solubility","Ceiling Value")))</f>
        <v>Greater than Solubility</v>
      </c>
      <c r="U16" s="356">
        <f>IF(R16=0,0,IF(AND([1]Toxicity!$AZ12&gt;0,R16&gt;[1]Toxicity!$AZ12,[1]Toxicity!$AZ12&lt;[1]Toxicity!$CA12),0,MAX(S16,[1]Toxicity!AY12,[1]Toxicity!AN12)))</f>
        <v>0</v>
      </c>
      <c r="V16" s="354"/>
      <c r="W16" s="355" t="str">
        <f>IF(R16=0,"NA",IF(U16=0,"NA, &gt; Solubility",IF(U16=S16,T16,IF(U16=(VLOOKUP(A16,[1]!TOX,40,FALSE)),"Groundwater Background","Water PQL"))))</f>
        <v>NA, &gt; Solubility</v>
      </c>
    </row>
    <row r="17" spans="1:23" x14ac:dyDescent="0.25">
      <c r="A17" s="342" t="s">
        <v>169</v>
      </c>
      <c r="B17" s="356">
        <f>(VLOOKUP(A17,[1]!TOX,8,FALSE)*'[1]Target Risk'!$D$8*'GW-2 Exp'!$G$18*'GW-2 Exp'!$E$18)</f>
        <v>3.9999999999999996E-4</v>
      </c>
      <c r="C17" s="759">
        <f>IF(VLOOKUP(A17,[1]!TOX,15,FALSE)=0,0,'[1]Target Risk'!$D$12/(VLOOKUP(A17,[1]!TOX,15,FALSE))*'GW-2 Exp'!$G$26)</f>
        <v>3.8888888888888892E-3</v>
      </c>
      <c r="D17" s="356">
        <f>IF(VLOOKUP(A17,[1]!TOX,15,FALSE)=0,0,IF(VLOOKUP(A17,[1]!TOX,36,FALSE)="M",'[1]Target Risk'!$D$12/((VLOOKUP(A17,[1]!TOX,15,FALSE))*(1*('GW-2 Exp'!$H$34))),0))</f>
        <v>1.5350877192982456E-3</v>
      </c>
      <c r="E17" s="415">
        <f>IF(VLOOKUP(A17,[1]!TOX,15,FALSE)=0,0,IF(VLOOKUP(A17,[1]!TOX,36,FALSE)="M",'[1]Target Risk'!$D$12/((VLOOKUP(A17,[1]!TOX,15,FALSE))*(1*('GW-2 Exp'!$H$34))),'[1]Target Risk'!$D$12/(VLOOKUP(A17,[1]!TOX,15,FALSE))*'GW-2 Exp'!$G$26))</f>
        <v>1.5350877192982456E-3</v>
      </c>
      <c r="F17" s="414">
        <f t="shared" si="0"/>
        <v>3.9999999999999996E-4</v>
      </c>
      <c r="G17" s="356" t="str">
        <f t="shared" si="1"/>
        <v>Noncancer</v>
      </c>
      <c r="H17" s="437">
        <f>0.5*(VLOOKUP(A17,[1]!TOX,46,FALSE))</f>
        <v>0</v>
      </c>
      <c r="I17" s="356">
        <f t="shared" si="2"/>
        <v>3.9999999999999996E-4</v>
      </c>
      <c r="J17" s="356" t="str">
        <f t="shared" si="3"/>
        <v>Noncancer</v>
      </c>
      <c r="K17" s="429">
        <f>(VLOOKUP(A17,[1]!TOX,41,FALSE))</f>
        <v>0</v>
      </c>
      <c r="L17" s="414">
        <f t="shared" si="4"/>
        <v>3.9999999999999996E-4</v>
      </c>
      <c r="M17" s="435" t="str">
        <f t="shared" si="5"/>
        <v>Noncancer</v>
      </c>
      <c r="N17" s="425">
        <f>IF(O17=0,0,(VLOOKUP(A17,[2]!CCalcs,12,FALSE)))</f>
        <v>1.1053051524887098E-3</v>
      </c>
      <c r="O17" s="425">
        <f>(VLOOKUP(A17,[2]!CCalcs,4,FALSE))</f>
        <v>2.614912116834571E-6</v>
      </c>
      <c r="P17" s="437">
        <v>1000</v>
      </c>
      <c r="Q17" s="437">
        <v>1</v>
      </c>
      <c r="R17" s="425">
        <f t="shared" si="6"/>
        <v>138.39509537875492</v>
      </c>
      <c r="S17" s="414">
        <f>IF(R17=0,0,IF(VLOOKUP(A17,[1]!TOX,52,FALSE)=0,MIN(VLOOKUP(A17,[1]!TOX,79,FALSE),R17),MIN(VLOOKUP(A17,[1]!TOX,79,FALSE),R17,(VLOOKUP(A17,[1]!TOX,52,FALSE)))))</f>
        <v>1.62</v>
      </c>
      <c r="T17" s="435" t="str">
        <f>IF(R17=0,0,IF(R17=S17,M17,IF(S17=(VLOOKUP(A17,[1]!TOX,52,FALSE)),"Greater than Solubility","Ceiling Value")))</f>
        <v>Greater than Solubility</v>
      </c>
      <c r="U17" s="356">
        <f>IF(R17=0,0,IF(AND([1]Toxicity!$AZ13&gt;0,R17&gt;[1]Toxicity!$AZ13,[1]Toxicity!$AZ13&lt;[1]Toxicity!$CA13),0,MAX(S17,[1]Toxicity!AY13,[1]Toxicity!AN13)))</f>
        <v>0</v>
      </c>
      <c r="V17" s="354"/>
      <c r="W17" s="355" t="str">
        <f>IF(R17=0,"NA",IF(U17=0,"NA, &gt; Solubility",IF(U17=S17,T17,IF(U17=(VLOOKUP(A17,[1]!TOX,40,FALSE)),"Groundwater Background","Water PQL"))))</f>
        <v>NA, &gt; Solubility</v>
      </c>
    </row>
    <row r="18" spans="1:23" x14ac:dyDescent="0.25">
      <c r="A18" s="342" t="s">
        <v>170</v>
      </c>
      <c r="B18" s="356">
        <f>(VLOOKUP(A18,[1]!TOX,8,FALSE)*'[1]Target Risk'!$D$8*'GW-2 Exp'!$G$18*'GW-2 Exp'!$E$18)</f>
        <v>10.000000000000002</v>
      </c>
      <c r="C18" s="759">
        <f>IF(VLOOKUP(A18,[1]!TOX,15,FALSE)=0,0,'[1]Target Risk'!$D$12/(VLOOKUP(A18,[1]!TOX,15,FALSE))*'GW-2 Exp'!$G$26)</f>
        <v>3.888888888888889E-2</v>
      </c>
      <c r="D18" s="356">
        <f>IF(VLOOKUP(A18,[1]!TOX,15,FALSE)=0,0,IF(VLOOKUP(A18,[1]!TOX,36,FALSE)="M",'[1]Target Risk'!$D$12/((VLOOKUP(A18,[1]!TOX,15,FALSE))*(1*('GW-2 Exp'!$H$34))),0))</f>
        <v>1.5350877192982457E-2</v>
      </c>
      <c r="E18" s="415">
        <f>IF(VLOOKUP(A18,[1]!TOX,15,FALSE)=0,0,IF(VLOOKUP(A18,[1]!TOX,36,FALSE)="M",'[1]Target Risk'!$D$12/((VLOOKUP(A18,[1]!TOX,15,FALSE))*(1*('GW-2 Exp'!$H$34))),'[1]Target Risk'!$D$12/(VLOOKUP(A18,[1]!TOX,15,FALSE))*'GW-2 Exp'!$G$26))</f>
        <v>1.5350877192982457E-2</v>
      </c>
      <c r="F18" s="414">
        <f t="shared" si="0"/>
        <v>1.5350877192982457E-2</v>
      </c>
      <c r="G18" s="356" t="str">
        <f t="shared" si="1"/>
        <v>Cancer</v>
      </c>
      <c r="H18" s="437">
        <f>0.5*(VLOOKUP(A18,[1]!TOX,46,FALSE))</f>
        <v>0</v>
      </c>
      <c r="I18" s="356">
        <f t="shared" si="2"/>
        <v>1.5350877192982457E-2</v>
      </c>
      <c r="J18" s="356" t="str">
        <f t="shared" si="3"/>
        <v>Cancer</v>
      </c>
      <c r="K18" s="429">
        <f>(VLOOKUP(A18,[1]!TOX,41,FALSE))</f>
        <v>0</v>
      </c>
      <c r="L18" s="414">
        <f t="shared" si="4"/>
        <v>1.5350877192982457E-2</v>
      </c>
      <c r="M18" s="435" t="str">
        <f t="shared" si="5"/>
        <v>Cancer</v>
      </c>
      <c r="N18" s="425">
        <f>IF(O18=0,0,(VLOOKUP(A18,[2]!CCalcs,12,FALSE)))</f>
        <v>1.0509893943233179E-3</v>
      </c>
      <c r="O18" s="425">
        <f>(VLOOKUP(A18,[2]!CCalcs,4,FALSE))</f>
        <v>3.7592937872216924E-6</v>
      </c>
      <c r="P18" s="437">
        <v>1000</v>
      </c>
      <c r="Q18" s="437">
        <v>1</v>
      </c>
      <c r="R18" s="425">
        <f t="shared" si="6"/>
        <v>3885.3361318420484</v>
      </c>
      <c r="S18" s="414">
        <f>IF(R18=0,0,IF(VLOOKUP(A18,[1]!TOX,52,FALSE)=0,MIN(VLOOKUP(A18,[1]!TOX,79,FALSE),R18),MIN(VLOOKUP(A18,[1]!TOX,79,FALSE),R18,(VLOOKUP(A18,[1]!TOX,52,FALSE)))))</f>
        <v>1.5</v>
      </c>
      <c r="T18" s="435" t="str">
        <f>IF(R18=0,0,IF(R18=S18,M18,IF(S18=(VLOOKUP(A18,[1]!TOX,52,FALSE)),"Greater than Solubility","Ceiling Value")))</f>
        <v>Greater than Solubility</v>
      </c>
      <c r="U18" s="356">
        <f>IF(R18=0,0,IF(AND([1]Toxicity!$AZ14&gt;0,R18&gt;[1]Toxicity!$AZ14,[1]Toxicity!$AZ14&lt;[1]Toxicity!$CA14),0,MAX(S18,[1]Toxicity!AY14,[1]Toxicity!AN14)))</f>
        <v>0</v>
      </c>
      <c r="V18" s="354"/>
      <c r="W18" s="355" t="str">
        <f>IF(R18=0,"NA",IF(U18=0,"NA, &gt; Solubility",IF(U18=S18,T18,IF(U18=(VLOOKUP(A18,[1]!TOX,40,FALSE)),"Groundwater Background","Water PQL"))))</f>
        <v>NA, &gt; Solubility</v>
      </c>
    </row>
    <row r="19" spans="1:23" x14ac:dyDescent="0.25">
      <c r="A19" s="342" t="s">
        <v>171</v>
      </c>
      <c r="B19" s="356">
        <f>(VLOOKUP(A19,[1]!TOX,8,FALSE)*'[1]Target Risk'!$D$8*'GW-2 Exp'!$G$18*'GW-2 Exp'!$E$18)</f>
        <v>10.000000000000002</v>
      </c>
      <c r="C19" s="414">
        <f>IF(VLOOKUP(A19,[1]!TOX,15,FALSE)=0,0,'[1]Target Risk'!$D$12/(VLOOKUP(A19,[1]!TOX,15,FALSE))*'GW-2 Exp'!$G$26)</f>
        <v>0</v>
      </c>
      <c r="D19" s="356">
        <f>IF(VLOOKUP(A19,[1]!TOX,15,FALSE)=0,0,IF(VLOOKUP(A19,[1]!TOX,36,FALSE)="M",'[1]Target Risk'!$D$12/((VLOOKUP(A19,[1]!TOX,15,FALSE))*(1*('GW-2 Exp'!$H$34))),0))</f>
        <v>0</v>
      </c>
      <c r="E19" s="415">
        <f>IF(VLOOKUP(A19,[1]!TOX,15,FALSE)=0,0,IF(VLOOKUP(A19,[1]!TOX,36,FALSE)="M",'[1]Target Risk'!$D$12/((VLOOKUP(A19,[1]!TOX,15,FALSE))*(1*('GW-2 Exp'!$H$34))),'[1]Target Risk'!$D$12/(VLOOKUP(A19,[1]!TOX,15,FALSE))*'GW-2 Exp'!$G$26))</f>
        <v>0</v>
      </c>
      <c r="F19" s="414">
        <f t="shared" si="0"/>
        <v>10.000000000000002</v>
      </c>
      <c r="G19" s="356" t="str">
        <f t="shared" si="1"/>
        <v>Noncancer</v>
      </c>
      <c r="H19" s="437">
        <f>0.5*(VLOOKUP(A19,[1]!TOX,46,FALSE))</f>
        <v>0</v>
      </c>
      <c r="I19" s="356">
        <f t="shared" si="2"/>
        <v>10.000000000000002</v>
      </c>
      <c r="J19" s="356" t="str">
        <f t="shared" si="3"/>
        <v>Noncancer</v>
      </c>
      <c r="K19" s="429">
        <f>(VLOOKUP(A19,[1]!TOX,41,FALSE))</f>
        <v>0</v>
      </c>
      <c r="L19" s="414">
        <f t="shared" si="4"/>
        <v>10.000000000000002</v>
      </c>
      <c r="M19" s="435" t="str">
        <f t="shared" si="5"/>
        <v>Noncancer</v>
      </c>
      <c r="N19" s="425">
        <f>IF(O19=0,0,(VLOOKUP(A19,[2]!CCalcs,12,FALSE)))</f>
        <v>1.1489140586834496E-3</v>
      </c>
      <c r="O19" s="425">
        <f>(VLOOKUP(A19,[2]!CCalcs,4,FALSE))</f>
        <v>1.0557488490892554E-6</v>
      </c>
      <c r="P19" s="437">
        <v>1000</v>
      </c>
      <c r="Q19" s="437">
        <v>1</v>
      </c>
      <c r="R19" s="425">
        <f t="shared" si="6"/>
        <v>8244263.0357855456</v>
      </c>
      <c r="S19" s="414">
        <f>IF(R19=0,0,IF(VLOOKUP(A19,[1]!TOX,52,FALSE)=0,MIN(VLOOKUP(A19,[1]!TOX,79,FALSE),R19),MIN(VLOOKUP(A19,[1]!TOX,79,FALSE),R19,(VLOOKUP(A19,[1]!TOX,52,FALSE)))))</f>
        <v>0.26</v>
      </c>
      <c r="T19" s="435" t="str">
        <f>IF(R19=0,0,IF(R19=S19,M19,IF(S19=(VLOOKUP(A19,[1]!TOX,52,FALSE)),"Greater than Solubility","Ceiling Value")))</f>
        <v>Greater than Solubility</v>
      </c>
      <c r="U19" s="356">
        <f>IF(R19=0,0,IF(AND([1]Toxicity!$AZ15&gt;0,R19&gt;[1]Toxicity!$AZ15,[1]Toxicity!$AZ15&lt;[1]Toxicity!$CA15),0,MAX(S19,[1]Toxicity!AY15,[1]Toxicity!AN15)))</f>
        <v>0</v>
      </c>
      <c r="V19" s="354"/>
      <c r="W19" s="355" t="str">
        <f>IF(R19=0,"NA",IF(U19=0,"NA, &gt; Solubility",IF(U19=S19,T19,IF(U19=(VLOOKUP(A19,[1]!TOX,40,FALSE)),"Groundwater Background","Water PQL"))))</f>
        <v>NA, &gt; Solubility</v>
      </c>
    </row>
    <row r="20" spans="1:23" x14ac:dyDescent="0.25">
      <c r="A20" s="342" t="s">
        <v>172</v>
      </c>
      <c r="B20" s="356">
        <f>(VLOOKUP(A20,[1]!TOX,8,FALSE)*'[1]Target Risk'!$D$8*'GW-2 Exp'!$G$18*'GW-2 Exp'!$E$18)</f>
        <v>10.000000000000002</v>
      </c>
      <c r="C20" s="759">
        <f>IF(VLOOKUP(A20,[1]!TOX,15,FALSE)=0,0,'[1]Target Risk'!$D$12/(VLOOKUP(A20,[1]!TOX,15,FALSE))*'GW-2 Exp'!$G$26)</f>
        <v>0.3888888888888889</v>
      </c>
      <c r="D20" s="356">
        <f>IF(VLOOKUP(A20,[1]!TOX,15,FALSE)=0,0,IF(VLOOKUP(A20,[1]!TOX,36,FALSE)="M",'[1]Target Risk'!$D$12/((VLOOKUP(A20,[1]!TOX,15,FALSE))*(1*('GW-2 Exp'!$H$34))),0))</f>
        <v>0.15350877192982457</v>
      </c>
      <c r="E20" s="415">
        <f>IF(VLOOKUP(A20,[1]!TOX,15,FALSE)=0,0,IF(VLOOKUP(A20,[1]!TOX,36,FALSE)="M",'[1]Target Risk'!$D$12/((VLOOKUP(A20,[1]!TOX,15,FALSE))*(1*('GW-2 Exp'!$H$34))),'[1]Target Risk'!$D$12/(VLOOKUP(A20,[1]!TOX,15,FALSE))*'GW-2 Exp'!$G$26))</f>
        <v>0.15350877192982457</v>
      </c>
      <c r="F20" s="414">
        <f t="shared" si="0"/>
        <v>0.15350877192982457</v>
      </c>
      <c r="G20" s="356" t="str">
        <f t="shared" si="1"/>
        <v>Cancer</v>
      </c>
      <c r="H20" s="437">
        <f>0.5*(VLOOKUP(A20,[1]!TOX,46,FALSE))</f>
        <v>0</v>
      </c>
      <c r="I20" s="356">
        <f t="shared" si="2"/>
        <v>0.15350877192982457</v>
      </c>
      <c r="J20" s="356" t="str">
        <f t="shared" si="3"/>
        <v>Cancer</v>
      </c>
      <c r="K20" s="429">
        <f>(VLOOKUP(A20,[1]!TOX,41,FALSE))</f>
        <v>0</v>
      </c>
      <c r="L20" s="414">
        <f t="shared" si="4"/>
        <v>0.15350877192982457</v>
      </c>
      <c r="M20" s="435" t="str">
        <f t="shared" si="5"/>
        <v>Cancer</v>
      </c>
      <c r="N20" s="425">
        <f>IF(O20=0,0,(VLOOKUP(A20,[2]!CCalcs,12,FALSE)))</f>
        <v>1.0566862330013945E-3</v>
      </c>
      <c r="O20" s="425">
        <f>(VLOOKUP(A20,[2]!CCalcs,4,FALSE))</f>
        <v>2.8691559577397725E-6</v>
      </c>
      <c r="P20" s="437">
        <v>1000</v>
      </c>
      <c r="Q20" s="437">
        <v>1</v>
      </c>
      <c r="R20" s="425">
        <f t="shared" si="6"/>
        <v>50632.92215990663</v>
      </c>
      <c r="S20" s="414">
        <f>IF(R20=0,0,IF(VLOOKUP(A20,[1]!TOX,52,FALSE)=0,MIN(VLOOKUP(A20,[1]!TOX,79,FALSE),R20),MIN(VLOOKUP(A20,[1]!TOX,79,FALSE),R20,(VLOOKUP(A20,[1]!TOX,52,FALSE)))))</f>
        <v>0.8</v>
      </c>
      <c r="T20" s="435" t="str">
        <f>IF(R20=0,0,IF(R20=S20,M20,IF(S20=(VLOOKUP(A20,[1]!TOX,52,FALSE)),"Greater than Solubility","Ceiling Value")))</f>
        <v>Greater than Solubility</v>
      </c>
      <c r="U20" s="356">
        <f>IF(R20=0,0,IF(AND([1]Toxicity!$AZ16&gt;0,R20&gt;[1]Toxicity!$AZ16,[1]Toxicity!$AZ16&lt;[1]Toxicity!$CA16),0,MAX(S20,[1]Toxicity!AY16,[1]Toxicity!AN16)))</f>
        <v>0</v>
      </c>
      <c r="V20" s="354"/>
      <c r="W20" s="355" t="str">
        <f>IF(R20=0,"NA",IF(U20=0,"NA, &gt; Solubility",IF(U20=S20,T20,IF(U20=(VLOOKUP(A20,[1]!TOX,40,FALSE)),"Groundwater Background","Water PQL"))))</f>
        <v>NA, &gt; Solubility</v>
      </c>
    </row>
    <row r="21" spans="1:23" x14ac:dyDescent="0.25">
      <c r="A21" s="342" t="s">
        <v>173</v>
      </c>
      <c r="B21" s="356">
        <f>(VLOOKUP(A21,[1]!TOX,8,FALSE)*'[1]Target Risk'!$D$8*'GW-2 Exp'!$G$18*'GW-2 Exp'!$E$18)</f>
        <v>4.000000000000001E-3</v>
      </c>
      <c r="C21" s="414">
        <f>IF(VLOOKUP(A21,[1]!TOX,15,FALSE)=0,0,'[1]Target Risk'!$D$12/(VLOOKUP(A21,[1]!TOX,15,FALSE))*'GW-2 Exp'!$G$26)</f>
        <v>9.722222222222223E-4</v>
      </c>
      <c r="D21" s="356">
        <f>IF(VLOOKUP(A21,[1]!TOX,15,FALSE)=0,0,IF(VLOOKUP(A21,[1]!TOX,36,FALSE)="M",'[1]Target Risk'!$D$12/((VLOOKUP(A21,[1]!TOX,15,FALSE))*(1*('GW-2 Exp'!$H$34))),0))</f>
        <v>0</v>
      </c>
      <c r="E21" s="415">
        <f>IF(VLOOKUP(A21,[1]!TOX,15,FALSE)=0,0,IF(VLOOKUP(A21,[1]!TOX,36,FALSE)="M",'[1]Target Risk'!$D$12/((VLOOKUP(A21,[1]!TOX,15,FALSE))*(1*('GW-2 Exp'!$H$34))),'[1]Target Risk'!$D$12/(VLOOKUP(A21,[1]!TOX,15,FALSE))*'GW-2 Exp'!$G$26))</f>
        <v>9.722222222222223E-4</v>
      </c>
      <c r="F21" s="414">
        <f t="shared" si="0"/>
        <v>9.722222222222223E-4</v>
      </c>
      <c r="G21" s="356" t="str">
        <f t="shared" si="1"/>
        <v>Cancer</v>
      </c>
      <c r="H21" s="437">
        <f>0.5*(VLOOKUP(A21,[1]!TOX,46,FALSE))</f>
        <v>0</v>
      </c>
      <c r="I21" s="356">
        <f t="shared" si="2"/>
        <v>9.722222222222223E-4</v>
      </c>
      <c r="J21" s="356" t="str">
        <f t="shared" si="3"/>
        <v>Cancer</v>
      </c>
      <c r="K21" s="429">
        <f>(VLOOKUP(A21,[1]!TOX,41,FALSE))</f>
        <v>0</v>
      </c>
      <c r="L21" s="414">
        <f t="shared" si="4"/>
        <v>9.722222222222223E-4</v>
      </c>
      <c r="M21" s="435" t="str">
        <f t="shared" si="5"/>
        <v>Cancer</v>
      </c>
      <c r="N21" s="425">
        <f>IF(O21=0,0,(VLOOKUP(A21,[2]!CCalcs,12,FALSE)))</f>
        <v>0</v>
      </c>
      <c r="O21" s="425">
        <f>(VLOOKUP(A21,[2]!CCalcs,4,FALSE))</f>
        <v>0</v>
      </c>
      <c r="P21" s="437">
        <v>1000</v>
      </c>
      <c r="Q21" s="437">
        <v>1</v>
      </c>
      <c r="R21" s="425">
        <f t="shared" si="6"/>
        <v>0</v>
      </c>
      <c r="S21" s="414">
        <f>IF(R21=0,0,IF(VLOOKUP(A21,[1]!TOX,52,FALSE)=0,MIN(VLOOKUP(A21,[1]!TOX,79,FALSE),R21),MIN(VLOOKUP(A21,[1]!TOX,79,FALSE),R21,(VLOOKUP(A21,[1]!TOX,52,FALSE)))))</f>
        <v>0</v>
      </c>
      <c r="T21" s="435">
        <f>IF(R21=0,0,IF(R21=S21,M21,IF(S21=(VLOOKUP(A21,[1]!TOX,52,FALSE)),"Greater than Solubility","Ceiling Value")))</f>
        <v>0</v>
      </c>
      <c r="U21" s="356">
        <f>IF(R21=0,0,IF(AND([1]Toxicity!$AZ17&gt;0,R21&gt;[1]Toxicity!$AZ17,[1]Toxicity!$AZ17&lt;[1]Toxicity!$CA17),0,MAX(S21,[1]Toxicity!AY17,[1]Toxicity!AN17)))</f>
        <v>0</v>
      </c>
      <c r="V21" s="354">
        <f>U21</f>
        <v>0</v>
      </c>
      <c r="W21" s="355" t="str">
        <f>IF(R21=0,"NA",IF(U21=0,"NA, &gt; Solubility",IF(U21=S21,T21,IF(U21=(VLOOKUP(A21,[1]!TOX,40,FALSE)),"Groundwater Background","Water PQL"))))</f>
        <v>NA</v>
      </c>
    </row>
    <row r="22" spans="1:23" x14ac:dyDescent="0.25">
      <c r="A22" s="342" t="s">
        <v>174</v>
      </c>
      <c r="B22" s="356">
        <f>(VLOOKUP(A22,[1]!TOX,8,FALSE)*'[1]Target Risk'!$D$8*'GW-2 Exp'!$G$18*'GW-2 Exp'!$E$18)</f>
        <v>0.4</v>
      </c>
      <c r="C22" s="414">
        <f>IF(VLOOKUP(A22,[1]!TOX,15,FALSE)=0,0,'[1]Target Risk'!$D$12/(VLOOKUP(A22,[1]!TOX,15,FALSE))*'GW-2 Exp'!$G$26)</f>
        <v>0</v>
      </c>
      <c r="D22" s="356">
        <f>IF(VLOOKUP(A22,[1]!TOX,15,FALSE)=0,0,IF(VLOOKUP(A22,[1]!TOX,36,FALSE)="M",'[1]Target Risk'!$D$12/((VLOOKUP(A22,[1]!TOX,15,FALSE))*(1*('GW-2 Exp'!$H$34))),0))</f>
        <v>0</v>
      </c>
      <c r="E22" s="415">
        <f>IF(VLOOKUP(A22,[1]!TOX,15,FALSE)=0,0,IF(VLOOKUP(A22,[1]!TOX,36,FALSE)="M",'[1]Target Risk'!$D$12/((VLOOKUP(A22,[1]!TOX,15,FALSE))*(1*('GW-2 Exp'!$H$34))),'[1]Target Risk'!$D$12/(VLOOKUP(A22,[1]!TOX,15,FALSE))*'GW-2 Exp'!$G$26))</f>
        <v>0</v>
      </c>
      <c r="F22" s="414">
        <f t="shared" si="0"/>
        <v>0.4</v>
      </c>
      <c r="G22" s="356" t="str">
        <f t="shared" si="1"/>
        <v>Noncancer</v>
      </c>
      <c r="H22" s="437">
        <f>0.5*(VLOOKUP(A22,[1]!TOX,46,FALSE))</f>
        <v>30</v>
      </c>
      <c r="I22" s="356">
        <f t="shared" si="2"/>
        <v>0.4</v>
      </c>
      <c r="J22" s="356" t="str">
        <f t="shared" si="3"/>
        <v>Noncancer</v>
      </c>
      <c r="K22" s="429">
        <f>(VLOOKUP(A22,[1]!TOX,41,FALSE))</f>
        <v>0</v>
      </c>
      <c r="L22" s="414">
        <f t="shared" si="4"/>
        <v>0.4</v>
      </c>
      <c r="M22" s="435" t="str">
        <f t="shared" si="5"/>
        <v>Noncancer</v>
      </c>
      <c r="N22" s="425">
        <f>IF(O22=0,0,(VLOOKUP(A22,[2]!CCalcs,12,FALSE)))</f>
        <v>6.907654383094614E-4</v>
      </c>
      <c r="O22" s="425">
        <f>(VLOOKUP(A22,[2]!CCalcs,4,FALSE))</f>
        <v>3.5448505356782557E-3</v>
      </c>
      <c r="P22" s="437">
        <v>1000</v>
      </c>
      <c r="Q22" s="437">
        <v>1</v>
      </c>
      <c r="R22" s="425">
        <f t="shared" si="6"/>
        <v>163.35463550344244</v>
      </c>
      <c r="S22" s="414">
        <f>IF(R22=0,0,IF(VLOOKUP(A22,[1]!TOX,52,FALSE)=0,MIN(VLOOKUP(A22,[1]!TOX,79,FALSE),R22),MIN(VLOOKUP(A22,[1]!TOX,79,FALSE),R22,(VLOOKUP(A22,[1]!TOX,52,FALSE)))))</f>
        <v>163.35463550344244</v>
      </c>
      <c r="T22" s="435" t="str">
        <f>IF(R22=0,0,IF(R22=S22,M22,IF(S22=(VLOOKUP(A22,[1]!TOX,52,FALSE)),"Greater than Solubility","Ceiling Value")))</f>
        <v>Noncancer</v>
      </c>
      <c r="U22" s="356">
        <f>IF(R22=0,0,IF(AND([1]Toxicity!$AZ18&gt;0,R22&gt;[1]Toxicity!$AZ18,[1]Toxicity!$AZ18&lt;[1]Toxicity!$CA18),0,MAX(S22,[1]Toxicity!AY18,[1]Toxicity!AN18)))</f>
        <v>163.35463550344244</v>
      </c>
      <c r="V22" s="354">
        <f>ROUND(U22,-INT(LOG10(ABS(U22))))</f>
        <v>200</v>
      </c>
      <c r="W22" s="355" t="str">
        <f>IF(R22=0,"NA",IF(U22=0,"NA, &gt; Solubility",IF(U22=S22,T22,IF(U22=(VLOOKUP(A22,[1]!TOX,40,FALSE)),"Groundwater Background","Water PQL"))))</f>
        <v>Noncancer</v>
      </c>
    </row>
    <row r="23" spans="1:23" x14ac:dyDescent="0.25">
      <c r="A23" s="342" t="s">
        <v>175</v>
      </c>
      <c r="B23" s="356">
        <f>(VLOOKUP(A23,[1]!TOX,8,FALSE)*'[1]Target Risk'!$D$8*'GW-2 Exp'!$G$18*'GW-2 Exp'!$E$18)</f>
        <v>0</v>
      </c>
      <c r="C23" s="414">
        <f>IF(VLOOKUP(A23,[1]!TOX,15,FALSE)=0,0,'[1]Target Risk'!$D$12/(VLOOKUP(A23,[1]!TOX,15,FALSE))*'GW-2 Exp'!$G$26)</f>
        <v>7.0707070707070711E-3</v>
      </c>
      <c r="D23" s="356">
        <f>IF(VLOOKUP(A23,[1]!TOX,15,FALSE)=0,0,IF(VLOOKUP(A23,[1]!TOX,36,FALSE)="M",'[1]Target Risk'!$D$12/((VLOOKUP(A23,[1]!TOX,15,FALSE))*(1*('GW-2 Exp'!$H$34))),0))</f>
        <v>0</v>
      </c>
      <c r="E23" s="415">
        <f>IF(VLOOKUP(A23,[1]!TOX,15,FALSE)=0,0,IF(VLOOKUP(A23,[1]!TOX,36,FALSE)="M",'[1]Target Risk'!$D$12/((VLOOKUP(A23,[1]!TOX,15,FALSE))*(1*('GW-2 Exp'!$H$34))),'[1]Target Risk'!$D$12/(VLOOKUP(A23,[1]!TOX,15,FALSE))*'GW-2 Exp'!$G$26))</f>
        <v>7.0707070707070711E-3</v>
      </c>
      <c r="F23" s="414">
        <f t="shared" si="0"/>
        <v>7.0707070707070711E-3</v>
      </c>
      <c r="G23" s="356" t="str">
        <f t="shared" si="1"/>
        <v>Cancer</v>
      </c>
      <c r="H23" s="437">
        <f>0.5*(VLOOKUP(A23,[1]!TOX,46,FALSE))</f>
        <v>143.5</v>
      </c>
      <c r="I23" s="356">
        <f t="shared" si="2"/>
        <v>7.0707070707070711E-3</v>
      </c>
      <c r="J23" s="356" t="str">
        <f t="shared" si="3"/>
        <v>Cancer</v>
      </c>
      <c r="K23" s="429">
        <f>(VLOOKUP(A23,[1]!TOX,41,FALSE))</f>
        <v>0</v>
      </c>
      <c r="L23" s="414">
        <f t="shared" si="4"/>
        <v>7.0707070707070711E-3</v>
      </c>
      <c r="M23" s="435" t="str">
        <f t="shared" si="5"/>
        <v>Cancer</v>
      </c>
      <c r="N23" s="425">
        <f>IF(O23=0,0,(VLOOKUP(A23,[2]!CCalcs,12,FALSE)))</f>
        <v>9.0526719668757006E-4</v>
      </c>
      <c r="O23" s="425">
        <f>(VLOOKUP(A23,[2]!CCalcs,4,FALSE))</f>
        <v>2.6563357834451083E-4</v>
      </c>
      <c r="P23" s="437">
        <v>1000</v>
      </c>
      <c r="Q23" s="437">
        <v>1</v>
      </c>
      <c r="R23" s="425">
        <f t="shared" si="6"/>
        <v>29.403774889061179</v>
      </c>
      <c r="S23" s="414">
        <f>IF(R23=0,0,IF(VLOOKUP(A23,[1]!TOX,52,FALSE)=0,MIN(VLOOKUP(A23,[1]!TOX,79,FALSE),R23),MIN(VLOOKUP(A23,[1]!TOX,79,FALSE),R23,(VLOOKUP(A23,[1]!TOX,52,FALSE)))))</f>
        <v>29.403774889061179</v>
      </c>
      <c r="T23" s="435" t="str">
        <f>IF(R23=0,0,IF(R23=S23,M23,IF(S23=(VLOOKUP(A23,[1]!TOX,52,FALSE)),"Greater than Solubility","Ceiling Value")))</f>
        <v>Cancer</v>
      </c>
      <c r="U23" s="356">
        <f>IF(R23=0,0,IF(AND([1]Toxicity!$AZ19&gt;0,R23&gt;[1]Toxicity!$AZ19,[1]Toxicity!$AZ19&lt;[1]Toxicity!$CA19),0,MAX(S23,[1]Toxicity!AY19,[1]Toxicity!AN19)))</f>
        <v>29.403774889061179</v>
      </c>
      <c r="V23" s="354">
        <f>ROUND(U23,-INT(LOG10(ABS(U23))))</f>
        <v>30</v>
      </c>
      <c r="W23" s="355" t="str">
        <f>IF(R23=0,"NA",IF(U23=0,"NA, &gt; Solubility",IF(U23=S23,T23,IF(U23=(VLOOKUP(A23,[1]!TOX,40,FALSE)),"Groundwater Background","Water PQL"))))</f>
        <v>Cancer</v>
      </c>
    </row>
    <row r="24" spans="1:23" x14ac:dyDescent="0.25">
      <c r="A24" s="342" t="s">
        <v>176</v>
      </c>
      <c r="B24" s="356">
        <f>(VLOOKUP(A24,[1]!TOX,8,FALSE)*'[1]Target Risk'!$D$8*'GW-2 Exp'!$G$18*'GW-2 Exp'!$E$18)</f>
        <v>28.000000000000004</v>
      </c>
      <c r="C24" s="414">
        <f>IF(VLOOKUP(A24,[1]!TOX,15,FALSE)=0,0,'[1]Target Risk'!$D$12/(VLOOKUP(A24,[1]!TOX,15,FALSE))*'GW-2 Exp'!$G$26)</f>
        <v>0.23333333333333334</v>
      </c>
      <c r="D24" s="356">
        <f>IF(VLOOKUP(A24,[1]!TOX,15,FALSE)=0,0,IF(VLOOKUP(A24,[1]!TOX,36,FALSE)="M",'[1]Target Risk'!$D$12/((VLOOKUP(A24,[1]!TOX,15,FALSE))*(1*('GW-2 Exp'!$H$34))),0))</f>
        <v>0</v>
      </c>
      <c r="E24" s="415">
        <f>IF(VLOOKUP(A24,[1]!TOX,15,FALSE)=0,0,IF(VLOOKUP(A24,[1]!TOX,36,FALSE)="M",'[1]Target Risk'!$D$12/((VLOOKUP(A24,[1]!TOX,15,FALSE))*(1*('GW-2 Exp'!$H$34))),'[1]Target Risk'!$D$12/(VLOOKUP(A24,[1]!TOX,15,FALSE))*'GW-2 Exp'!$G$26))</f>
        <v>0.23333333333333334</v>
      </c>
      <c r="F24" s="414">
        <f t="shared" si="0"/>
        <v>0.23333333333333334</v>
      </c>
      <c r="G24" s="356" t="str">
        <f t="shared" si="1"/>
        <v>Cancer</v>
      </c>
      <c r="H24" s="437">
        <f>0.5*(VLOOKUP(A24,[1]!TOX,46,FALSE))</f>
        <v>1120</v>
      </c>
      <c r="I24" s="356">
        <f t="shared" si="2"/>
        <v>0.23333333333333334</v>
      </c>
      <c r="J24" s="356" t="str">
        <f t="shared" si="3"/>
        <v>Cancer</v>
      </c>
      <c r="K24" s="429">
        <f>(VLOOKUP(A24,[1]!TOX,41,FALSE))</f>
        <v>0</v>
      </c>
      <c r="L24" s="414">
        <f t="shared" si="4"/>
        <v>0.23333333333333334</v>
      </c>
      <c r="M24" s="435" t="str">
        <f t="shared" si="5"/>
        <v>Cancer</v>
      </c>
      <c r="N24" s="425">
        <f>IF(O24=0,0,(VLOOKUP(A24,[2]!CCalcs,12,FALSE)))</f>
        <v>7.1578233960829156E-4</v>
      </c>
      <c r="O24" s="425">
        <f>(VLOOKUP(A24,[2]!CCalcs,4,FALSE))</f>
        <v>2.1743296372509651E-3</v>
      </c>
      <c r="P24" s="437">
        <v>1000</v>
      </c>
      <c r="Q24" s="437">
        <v>1</v>
      </c>
      <c r="R24" s="425">
        <f t="shared" si="6"/>
        <v>149.92374456979474</v>
      </c>
      <c r="S24" s="414">
        <f>IF(R24=0,0,IF(VLOOKUP(A24,[1]!TOX,52,FALSE)=0,MIN(VLOOKUP(A24,[1]!TOX,79,FALSE),R24),MIN(VLOOKUP(A24,[1]!TOX,79,FALSE),R24,(VLOOKUP(A24,[1]!TOX,52,FALSE)))))</f>
        <v>149.92374456979474</v>
      </c>
      <c r="T24" s="435" t="str">
        <f>IF(R24=0,0,IF(R24=S24,M24,IF(S24=(VLOOKUP(A24,[1]!TOX,52,FALSE)),"Greater than Solubility","Ceiling Value")))</f>
        <v>Cancer</v>
      </c>
      <c r="U24" s="356">
        <f>IF(R24=0,0,IF(AND([1]Toxicity!$AZ20&gt;0,R24&gt;[1]Toxicity!$AZ20,[1]Toxicity!$AZ20&lt;[1]Toxicity!$CA20),0,MAX(S24,[1]Toxicity!AY20,[1]Toxicity!AN20)))</f>
        <v>149.92374456979474</v>
      </c>
      <c r="V24" s="354">
        <f>ROUND(U24,-INT(LOG10(ABS(U24))))</f>
        <v>100</v>
      </c>
      <c r="W24" s="355" t="str">
        <f>IF(R24=0,"NA",IF(U24=0,"NA, &gt; Solubility",IF(U24=S24,T24,IF(U24=(VLOOKUP(A24,[1]!TOX,40,FALSE)),"Groundwater Background","Water PQL"))))</f>
        <v>Cancer</v>
      </c>
    </row>
    <row r="25" spans="1:23" x14ac:dyDescent="0.25">
      <c r="A25" s="342" t="s">
        <v>177</v>
      </c>
      <c r="B25" s="356">
        <f>(VLOOKUP(A25,[1]!TOX,8,FALSE)*'[1]Target Risk'!$D$8*'GW-2 Exp'!$G$18*'GW-2 Exp'!$E$18)</f>
        <v>1.4000000000000001</v>
      </c>
      <c r="C25" s="414">
        <f>IF(VLOOKUP(A25,[1]!TOX,15,FALSE)=0,0,'[1]Target Risk'!$D$12/(VLOOKUP(A25,[1]!TOX,15,FALSE))*'GW-2 Exp'!$G$26)</f>
        <v>1.7948717948717949</v>
      </c>
      <c r="D25" s="356">
        <f>IF(VLOOKUP(A25,[1]!TOX,15,FALSE)=0,0,IF(VLOOKUP(A25,[1]!TOX,36,FALSE)="M",'[1]Target Risk'!$D$12/((VLOOKUP(A25,[1]!TOX,15,FALSE))*(1*('GW-2 Exp'!$H$34))),0))</f>
        <v>0</v>
      </c>
      <c r="E25" s="415">
        <f>IF(VLOOKUP(A25,[1]!TOX,15,FALSE)=0,0,IF(VLOOKUP(A25,[1]!TOX,36,FALSE)="M",'[1]Target Risk'!$D$12/((VLOOKUP(A25,[1]!TOX,15,FALSE))*(1*('GW-2 Exp'!$H$34))),'[1]Target Risk'!$D$12/(VLOOKUP(A25,[1]!TOX,15,FALSE))*'GW-2 Exp'!$G$26))</f>
        <v>1.7948717948717949</v>
      </c>
      <c r="F25" s="414">
        <f t="shared" si="0"/>
        <v>1.4000000000000001</v>
      </c>
      <c r="G25" s="356" t="str">
        <f t="shared" si="1"/>
        <v>Noncancer</v>
      </c>
      <c r="H25" s="437">
        <f>0.5*(VLOOKUP(A25,[1]!TOX,46,FALSE))</f>
        <v>0</v>
      </c>
      <c r="I25" s="356">
        <f t="shared" si="2"/>
        <v>1.4000000000000001</v>
      </c>
      <c r="J25" s="356" t="str">
        <f t="shared" si="3"/>
        <v>Noncancer</v>
      </c>
      <c r="K25" s="429">
        <f>(VLOOKUP(A25,[1]!TOX,41,FALSE))</f>
        <v>0</v>
      </c>
      <c r="L25" s="414">
        <f t="shared" si="4"/>
        <v>1.4000000000000001</v>
      </c>
      <c r="M25" s="435" t="str">
        <f t="shared" si="5"/>
        <v>Noncancer</v>
      </c>
      <c r="N25" s="425">
        <f>IF(O25=0,0,(VLOOKUP(A25,[2]!CCalcs,12,FALSE)))</f>
        <v>1.0954809379585798E-3</v>
      </c>
      <c r="O25" s="425">
        <f>(VLOOKUP(A25,[2]!CCalcs,4,FALSE))</f>
        <v>1.0600738545184056E-6</v>
      </c>
      <c r="P25" s="437">
        <v>1000</v>
      </c>
      <c r="Q25" s="437">
        <v>1</v>
      </c>
      <c r="R25" s="425">
        <f t="shared" si="6"/>
        <v>1205555.1632796635</v>
      </c>
      <c r="S25" s="414">
        <f>IF(R25=0,0,IF(VLOOKUP(A25,[1]!TOX,52,FALSE)=0,MIN(VLOOKUP(A25,[1]!TOX,79,FALSE),R25),MIN(VLOOKUP(A25,[1]!TOX,79,FALSE),R25,(VLOOKUP(A25,[1]!TOX,52,FALSE)))))</f>
        <v>270</v>
      </c>
      <c r="T25" s="435" t="str">
        <f>IF(R25=0,0,IF(R25=S25,M25,IF(S25=(VLOOKUP(A25,[1]!TOX,52,FALSE)),"Greater than Solubility","Ceiling Value")))</f>
        <v>Greater than Solubility</v>
      </c>
      <c r="U25" s="356">
        <f>IF(R25=0,0,IF(AND([1]Toxicity!$AZ21&gt;0,R25&gt;[1]Toxicity!$AZ21,[1]Toxicity!$AZ21&lt;[1]Toxicity!$CA21),0,MAX(S25,[1]Toxicity!AY21,[1]Toxicity!AN21)))</f>
        <v>0</v>
      </c>
      <c r="V25" s="354"/>
      <c r="W25" s="355" t="str">
        <f>IF(R25=0,"NA",IF(U25=0,"NA, &gt; Solubility",IF(U25=S25,T25,IF(U25=(VLOOKUP(A25,[1]!TOX,40,FALSE)),"Groundwater Background","Water PQL"))))</f>
        <v>NA, &gt; Solubility</v>
      </c>
    </row>
    <row r="26" spans="1:23" x14ac:dyDescent="0.25">
      <c r="A26" s="342" t="s">
        <v>178</v>
      </c>
      <c r="B26" s="356">
        <f>(VLOOKUP(A26,[1]!TOX,8,FALSE)*'[1]Target Risk'!$D$8*'GW-2 Exp'!$G$18*'GW-2 Exp'!$E$18)</f>
        <v>2</v>
      </c>
      <c r="C26" s="414">
        <f>IF(VLOOKUP(A26,[1]!TOX,15,FALSE)=0,0,'[1]Target Risk'!$D$12/(VLOOKUP(A26,[1]!TOX,15,FALSE))*'GW-2 Exp'!$G$26)</f>
        <v>0.13172043010752688</v>
      </c>
      <c r="D26" s="356">
        <f>IF(VLOOKUP(A26,[1]!TOX,15,FALSE)=0,0,IF(VLOOKUP(A26,[1]!TOX,36,FALSE)="M",'[1]Target Risk'!$D$12/((VLOOKUP(A26,[1]!TOX,15,FALSE))*(1*('GW-2 Exp'!$H$34))),0))</f>
        <v>0</v>
      </c>
      <c r="E26" s="415">
        <f>IF(VLOOKUP(A26,[1]!TOX,15,FALSE)=0,0,IF(VLOOKUP(A26,[1]!TOX,36,FALSE)="M",'[1]Target Risk'!$D$12/((VLOOKUP(A26,[1]!TOX,15,FALSE))*(1*('GW-2 Exp'!$H$34))),'[1]Target Risk'!$D$12/(VLOOKUP(A26,[1]!TOX,15,FALSE))*'GW-2 Exp'!$G$26))</f>
        <v>0.13172043010752688</v>
      </c>
      <c r="F26" s="414">
        <f t="shared" si="0"/>
        <v>0.13172043010752688</v>
      </c>
      <c r="G26" s="356" t="str">
        <f t="shared" si="1"/>
        <v>Cancer</v>
      </c>
      <c r="H26" s="437">
        <f>0.5*(VLOOKUP(A26,[1]!TOX,46,FALSE))</f>
        <v>0</v>
      </c>
      <c r="I26" s="356">
        <f t="shared" si="2"/>
        <v>0.13172043010752688</v>
      </c>
      <c r="J26" s="356" t="str">
        <f t="shared" si="3"/>
        <v>Cancer</v>
      </c>
      <c r="K26" s="429">
        <f>(VLOOKUP(A26,[1]!TOX,41,FALSE))</f>
        <v>0</v>
      </c>
      <c r="L26" s="414">
        <f t="shared" si="4"/>
        <v>0.13172043010752688</v>
      </c>
      <c r="M26" s="435" t="str">
        <f t="shared" si="5"/>
        <v>Cancer</v>
      </c>
      <c r="N26" s="425">
        <f>IF(O26=0,0,(VLOOKUP(A26,[2]!CCalcs,12,FALSE)))</f>
        <v>4.8102460373814545E-4</v>
      </c>
      <c r="O26" s="425">
        <f>(VLOOKUP(A26,[2]!CCalcs,4,FALSE))</f>
        <v>4.5521885913022857E-2</v>
      </c>
      <c r="P26" s="437">
        <v>1000</v>
      </c>
      <c r="Q26" s="437">
        <v>1</v>
      </c>
      <c r="R26" s="425">
        <f t="shared" si="6"/>
        <v>6.0154151273283043</v>
      </c>
      <c r="S26" s="414">
        <f>IF(R26=0,0,IF(VLOOKUP(A26,[1]!TOX,52,FALSE)=0,MIN(VLOOKUP(A26,[1]!TOX,79,FALSE),R26),MIN(VLOOKUP(A26,[1]!TOX,79,FALSE),R26,(VLOOKUP(A26,[1]!TOX,52,FALSE)))))</f>
        <v>6.0154151273283043</v>
      </c>
      <c r="T26" s="435" t="str">
        <f>IF(R26=0,0,IF(R26=S26,M26,IF(S26=(VLOOKUP(A26,[1]!TOX,52,FALSE)),"Greater than Solubility","Ceiling Value")))</f>
        <v>Cancer</v>
      </c>
      <c r="U26" s="356">
        <f>IF(R26=0,0,IF(AND([1]Toxicity!$AZ22&gt;0,R26&gt;[1]Toxicity!$AZ22,[1]Toxicity!$AZ22&lt;[1]Toxicity!$CA22),0,MAX(S26,[1]Toxicity!AY22,[1]Toxicity!AN22)))</f>
        <v>6.0154151273283043</v>
      </c>
      <c r="V26" s="354">
        <f>ROUND(U26,-INT(LOG10(ABS(U26))))</f>
        <v>6</v>
      </c>
      <c r="W26" s="355" t="str">
        <f>IF(R26=0,"NA",IF(U26=0,"NA, &gt; Solubility",IF(U26=S26,T26,IF(U26=(VLOOKUP(A26,[1]!TOX,40,FALSE)),"Groundwater Background","Water PQL"))))</f>
        <v>Cancer</v>
      </c>
    </row>
    <row r="27" spans="1:23" x14ac:dyDescent="0.25">
      <c r="A27" s="342" t="s">
        <v>179</v>
      </c>
      <c r="B27" s="356">
        <f>(VLOOKUP(A27,[1]!TOX,8,FALSE)*'[1]Target Risk'!$D$8*'GW-2 Exp'!$G$18*'GW-2 Exp'!$E$18)</f>
        <v>14.000000000000002</v>
      </c>
      <c r="C27" s="414">
        <f>IF(VLOOKUP(A27,[1]!TOX,15,FALSE)=0,0,'[1]Target Risk'!$D$12/(VLOOKUP(A27,[1]!TOX,15,FALSE))*'GW-2 Exp'!$G$26)</f>
        <v>2.1212121212121211</v>
      </c>
      <c r="D27" s="356">
        <f>IF(VLOOKUP(A27,[1]!TOX,15,FALSE)=0,0,IF(VLOOKUP(A27,[1]!TOX,36,FALSE)="M",'[1]Target Risk'!$D$12/((VLOOKUP(A27,[1]!TOX,15,FALSE))*(1*('GW-2 Exp'!$H$34))),0))</f>
        <v>0</v>
      </c>
      <c r="E27" s="415">
        <f>IF(VLOOKUP(A27,[1]!TOX,15,FALSE)=0,0,IF(VLOOKUP(A27,[1]!TOX,36,FALSE)="M",'[1]Target Risk'!$D$12/((VLOOKUP(A27,[1]!TOX,15,FALSE))*(1*('GW-2 Exp'!$H$34))),'[1]Target Risk'!$D$12/(VLOOKUP(A27,[1]!TOX,15,FALSE))*'GW-2 Exp'!$G$26))</f>
        <v>2.1212121212121211</v>
      </c>
      <c r="F27" s="414">
        <f t="shared" si="0"/>
        <v>2.1212121212121211</v>
      </c>
      <c r="G27" s="356" t="str">
        <f t="shared" si="1"/>
        <v>Cancer</v>
      </c>
      <c r="H27" s="437">
        <f>0.5*(VLOOKUP(A27,[1]!TOX,46,FALSE))</f>
        <v>6725</v>
      </c>
      <c r="I27" s="356">
        <f t="shared" si="2"/>
        <v>2.1212121212121211</v>
      </c>
      <c r="J27" s="356" t="str">
        <f t="shared" si="3"/>
        <v>Cancer</v>
      </c>
      <c r="K27" s="429">
        <f>(VLOOKUP(A27,[1]!TOX,41,FALSE))</f>
        <v>0</v>
      </c>
      <c r="L27" s="414">
        <f t="shared" si="4"/>
        <v>2.1212121212121211</v>
      </c>
      <c r="M27" s="435" t="str">
        <f t="shared" si="5"/>
        <v>Cancer</v>
      </c>
      <c r="N27" s="425">
        <f>IF(O27=0,0,(VLOOKUP(A27,[2]!CCalcs,12,FALSE)))</f>
        <v>3.4834900580917434E-4</v>
      </c>
      <c r="O27" s="425">
        <f>(VLOOKUP(A27,[2]!CCalcs,4,FALSE))</f>
        <v>8.711531583040371E-3</v>
      </c>
      <c r="P27" s="437">
        <v>1000</v>
      </c>
      <c r="Q27" s="437">
        <v>1</v>
      </c>
      <c r="R27" s="425">
        <f t="shared" si="6"/>
        <v>698.9965130643568</v>
      </c>
      <c r="S27" s="414">
        <f>IF(R27=0,0,IF(VLOOKUP(A27,[1]!TOX,52,FALSE)=0,MIN(VLOOKUP(A27,[1]!TOX,79,FALSE),R27),MIN(VLOOKUP(A27,[1]!TOX,79,FALSE),R27,(VLOOKUP(A27,[1]!TOX,52,FALSE)))))</f>
        <v>698.9965130643568</v>
      </c>
      <c r="T27" s="435" t="str">
        <f>IF(R27=0,0,IF(R27=S27,M27,IF(S27=(VLOOKUP(A27,[1]!TOX,52,FALSE)),"Greater than Solubility","Ceiling Value")))</f>
        <v>Cancer</v>
      </c>
      <c r="U27" s="356">
        <f>IF(R27=0,0,IF(AND([1]Toxicity!$AZ23&gt;0,R27&gt;[1]Toxicity!$AZ23,[1]Toxicity!$AZ23&lt;[1]Toxicity!$CA23),0,MAX(S27,[1]Toxicity!AY23,[1]Toxicity!AN23)))</f>
        <v>698.9965130643568</v>
      </c>
      <c r="V27" s="354">
        <f t="shared" ref="V27:V35" si="7">ROUND(U27,-INT(LOG10(ABS(U27))))</f>
        <v>700</v>
      </c>
      <c r="W27" s="355" t="str">
        <f>IF(R27=0,"NA",IF(U27=0,"NA, &gt; Solubility",IF(U27=S27,T27,IF(U27=(VLOOKUP(A27,[1]!TOX,40,FALSE)),"Groundwater Background","Water PQL"))))</f>
        <v>Cancer</v>
      </c>
    </row>
    <row r="28" spans="1:23" x14ac:dyDescent="0.25">
      <c r="A28" s="342" t="s">
        <v>180</v>
      </c>
      <c r="B28" s="356">
        <f>(VLOOKUP(A28,[1]!TOX,8,FALSE)*'[1]Target Risk'!$D$8*'GW-2 Exp'!$G$18*'GW-2 Exp'!$E$18)</f>
        <v>1</v>
      </c>
      <c r="C28" s="414">
        <f>IF(VLOOKUP(A28,[1]!TOX,15,FALSE)=0,0,'[1]Target Risk'!$D$12/(VLOOKUP(A28,[1]!TOX,15,FALSE))*'GW-2 Exp'!$G$26)</f>
        <v>0</v>
      </c>
      <c r="D28" s="356">
        <f>IF(VLOOKUP(A28,[1]!TOX,15,FALSE)=0,0,IF(VLOOKUP(A28,[1]!TOX,36,FALSE)="M",'[1]Target Risk'!$D$12/((VLOOKUP(A28,[1]!TOX,15,FALSE))*(1*('GW-2 Exp'!$H$34))),0))</f>
        <v>0</v>
      </c>
      <c r="E28" s="415">
        <f>IF(VLOOKUP(A28,[1]!TOX,15,FALSE)=0,0,IF(VLOOKUP(A28,[1]!TOX,36,FALSE)="M",'[1]Target Risk'!$D$12/((VLOOKUP(A28,[1]!TOX,15,FALSE))*(1*('GW-2 Exp'!$H$34))),'[1]Target Risk'!$D$12/(VLOOKUP(A28,[1]!TOX,15,FALSE))*'GW-2 Exp'!$G$26))</f>
        <v>0</v>
      </c>
      <c r="F28" s="414">
        <f t="shared" si="0"/>
        <v>1</v>
      </c>
      <c r="G28" s="356" t="str">
        <f t="shared" si="1"/>
        <v>Noncancer</v>
      </c>
      <c r="H28" s="437">
        <f>0.5*(VLOOKUP(A28,[1]!TOX,46,FALSE))</f>
        <v>40000</v>
      </c>
      <c r="I28" s="356">
        <f t="shared" si="2"/>
        <v>1</v>
      </c>
      <c r="J28" s="356" t="str">
        <f t="shared" si="3"/>
        <v>Noncancer</v>
      </c>
      <c r="K28" s="429">
        <f>(VLOOKUP(A28,[1]!TOX,41,FALSE))</f>
        <v>0.6</v>
      </c>
      <c r="L28" s="414">
        <f t="shared" si="4"/>
        <v>1</v>
      </c>
      <c r="M28" s="435" t="str">
        <f t="shared" si="5"/>
        <v>Noncancer</v>
      </c>
      <c r="N28" s="425">
        <f>IF(O28=0,0,(VLOOKUP(A28,[2]!CCalcs,12,FALSE)))</f>
        <v>7.3098996653657195E-4</v>
      </c>
      <c r="O28" s="425">
        <f>(VLOOKUP(A28,[2]!CCalcs,4,FALSE))</f>
        <v>0.19059669665618936</v>
      </c>
      <c r="P28" s="437">
        <v>1000</v>
      </c>
      <c r="Q28" s="437">
        <v>1</v>
      </c>
      <c r="R28" s="425">
        <f t="shared" si="6"/>
        <v>7.1775002238197905</v>
      </c>
      <c r="S28" s="414">
        <f>IF(R28=0,0,IF(VLOOKUP(A28,[1]!TOX,52,FALSE)=0,MIN(VLOOKUP(A28,[1]!TOX,79,FALSE),R28),MIN(VLOOKUP(A28,[1]!TOX,79,FALSE),R28,(VLOOKUP(A28,[1]!TOX,52,FALSE)))))</f>
        <v>7.1775002238197905</v>
      </c>
      <c r="T28" s="435" t="str">
        <f>IF(R28=0,0,IF(R28=S28,M28,IF(S28=(VLOOKUP(A28,[1]!TOX,52,FALSE)),"Greater than Solubility","Ceiling Value")))</f>
        <v>Noncancer</v>
      </c>
      <c r="U28" s="356">
        <f>IF(R28=0,0,IF(AND([1]Toxicity!$AZ24&gt;0,R28&gt;[1]Toxicity!$AZ24,[1]Toxicity!$AZ24&lt;[1]Toxicity!$CA24),0,MAX(S28,[1]Toxicity!AY24,[1]Toxicity!AN24)))</f>
        <v>7.1775002238197905</v>
      </c>
      <c r="V28" s="354">
        <f t="shared" si="7"/>
        <v>7</v>
      </c>
      <c r="W28" s="355" t="str">
        <f>IF(R28=0,"NA",IF(U28=0,"NA, &gt; Solubility",IF(U28=S28,T28,IF(U28=(VLOOKUP(A28,[1]!TOX,40,FALSE)),"Groundwater Background","Water PQL"))))</f>
        <v>Noncancer</v>
      </c>
    </row>
    <row r="29" spans="1:23" x14ac:dyDescent="0.25">
      <c r="A29" s="342" t="s">
        <v>181</v>
      </c>
      <c r="B29" s="356">
        <f>(VLOOKUP(A29,[1]!TOX,8,FALSE)*'[1]Target Risk'!$D$8*'GW-2 Exp'!$G$18*'GW-2 Exp'!$E$18)</f>
        <v>2.0000000000000005E-3</v>
      </c>
      <c r="C29" s="414">
        <f>IF(VLOOKUP(A29,[1]!TOX,15,FALSE)=0,0,'[1]Target Risk'!$D$12/(VLOOKUP(A29,[1]!TOX,15,FALSE))*'GW-2 Exp'!$G$26)</f>
        <v>5.5555555555555556E-4</v>
      </c>
      <c r="D29" s="356">
        <f>IF(VLOOKUP(A29,[1]!TOX,15,FALSE)=0,0,IF(VLOOKUP(A29,[1]!TOX,36,FALSE)="M",'[1]Target Risk'!$D$12/((VLOOKUP(A29,[1]!TOX,15,FALSE))*(1*('GW-2 Exp'!$H$34))),0))</f>
        <v>0</v>
      </c>
      <c r="E29" s="415">
        <f>IF(VLOOKUP(A29,[1]!TOX,15,FALSE)=0,0,IF(VLOOKUP(A29,[1]!TOX,36,FALSE)="M",'[1]Target Risk'!$D$12/((VLOOKUP(A29,[1]!TOX,15,FALSE))*(1*('GW-2 Exp'!$H$34))),'[1]Target Risk'!$D$12/(VLOOKUP(A29,[1]!TOX,15,FALSE))*'GW-2 Exp'!$G$26))</f>
        <v>5.5555555555555556E-4</v>
      </c>
      <c r="F29" s="414">
        <f t="shared" si="0"/>
        <v>5.5555555555555556E-4</v>
      </c>
      <c r="G29" s="356" t="str">
        <f t="shared" si="1"/>
        <v>Cancer</v>
      </c>
      <c r="H29" s="437">
        <f>0.5*(VLOOKUP(A29,[1]!TOX,46,FALSE))</f>
        <v>0</v>
      </c>
      <c r="I29" s="356">
        <f t="shared" si="2"/>
        <v>5.5555555555555556E-4</v>
      </c>
      <c r="J29" s="356" t="str">
        <f t="shared" si="3"/>
        <v>Cancer</v>
      </c>
      <c r="K29" s="429">
        <f>(VLOOKUP(A29,[1]!TOX,41,FALSE))</f>
        <v>0</v>
      </c>
      <c r="L29" s="414">
        <f t="shared" si="4"/>
        <v>5.5555555555555556E-4</v>
      </c>
      <c r="M29" s="435" t="str">
        <f t="shared" si="5"/>
        <v>Cancer</v>
      </c>
      <c r="N29" s="425">
        <f>IF(O29=0,0,(VLOOKUP(A29,[2]!CCalcs,12,FALSE)))</f>
        <v>0</v>
      </c>
      <c r="O29" s="425">
        <f>(VLOOKUP(A29,[2]!CCalcs,4,FALSE))</f>
        <v>0</v>
      </c>
      <c r="P29" s="437">
        <v>1000</v>
      </c>
      <c r="Q29" s="437">
        <v>1</v>
      </c>
      <c r="R29" s="425">
        <f t="shared" si="6"/>
        <v>0</v>
      </c>
      <c r="S29" s="414">
        <f>IF(R29=0,0,IF(VLOOKUP(A29,[1]!TOX,52,FALSE)=0,MIN(VLOOKUP(A29,[1]!TOX,79,FALSE),R29),MIN(VLOOKUP(A29,[1]!TOX,79,FALSE),R29,(VLOOKUP(A29,[1]!TOX,52,FALSE)))))</f>
        <v>0</v>
      </c>
      <c r="T29" s="435">
        <f>IF(R29=0,0,IF(R29=S29,M29,IF(S29=(VLOOKUP(A29,[1]!TOX,52,FALSE)),"Greater than Solubility","Ceiling Value")))</f>
        <v>0</v>
      </c>
      <c r="U29" s="356">
        <f>IF(R29=0,0,IF(AND([1]Toxicity!$AZ25&gt;0,R29&gt;[1]Toxicity!$AZ25,[1]Toxicity!$AZ25&lt;[1]Toxicity!$CA25),0,MAX(S29,[1]Toxicity!AY25,[1]Toxicity!AN25)))</f>
        <v>0</v>
      </c>
      <c r="V29" s="354">
        <f>U29</f>
        <v>0</v>
      </c>
      <c r="W29" s="355" t="str">
        <f>IF(R29=0,"NA",IF(U29=0,"NA, &gt; Solubility",IF(U29=S29,T29,IF(U29=(VLOOKUP(A29,[1]!TOX,40,FALSE)),"Groundwater Background","Water PQL"))))</f>
        <v>NA</v>
      </c>
    </row>
    <row r="30" spans="1:23" x14ac:dyDescent="0.25">
      <c r="A30" s="342" t="s">
        <v>182</v>
      </c>
      <c r="B30" s="356">
        <f>(VLOOKUP(A30,[1]!TOX,8,FALSE)*'[1]Target Risk'!$D$8*'GW-2 Exp'!$G$18*'GW-2 Exp'!$E$18)</f>
        <v>20.000000000000004</v>
      </c>
      <c r="C30" s="414">
        <f>IF(VLOOKUP(A30,[1]!TOX,15,FALSE)=0,0,'[1]Target Risk'!$D$12/(VLOOKUP(A30,[1]!TOX,15,FALSE))*'GW-2 Exp'!$G$26)</f>
        <v>0.3888888888888889</v>
      </c>
      <c r="D30" s="356">
        <f>IF(VLOOKUP(A30,[1]!TOX,15,FALSE)=0,0,IF(VLOOKUP(A30,[1]!TOX,36,FALSE)="M",'[1]Target Risk'!$D$12/((VLOOKUP(A30,[1]!TOX,15,FALSE))*(1*('GW-2 Exp'!$H$34))),0))</f>
        <v>0</v>
      </c>
      <c r="E30" s="415">
        <f>IF(VLOOKUP(A30,[1]!TOX,15,FALSE)=0,0,IF(VLOOKUP(A30,[1]!TOX,36,FALSE)="M",'[1]Target Risk'!$D$12/((VLOOKUP(A30,[1]!TOX,15,FALSE))*(1*('GW-2 Exp'!$H$34))),'[1]Target Risk'!$D$12/(VLOOKUP(A30,[1]!TOX,15,FALSE))*'GW-2 Exp'!$G$26))</f>
        <v>0.3888888888888889</v>
      </c>
      <c r="F30" s="414">
        <f t="shared" si="0"/>
        <v>0.3888888888888889</v>
      </c>
      <c r="G30" s="356" t="str">
        <f t="shared" si="1"/>
        <v>Cancer</v>
      </c>
      <c r="H30" s="437">
        <f>0.5*(VLOOKUP(A30,[1]!TOX,46,FALSE))</f>
        <v>31500</v>
      </c>
      <c r="I30" s="356">
        <f t="shared" si="2"/>
        <v>0.3888888888888889</v>
      </c>
      <c r="J30" s="356" t="str">
        <f t="shared" si="3"/>
        <v>Cancer</v>
      </c>
      <c r="K30" s="429">
        <f>(VLOOKUP(A30,[1]!TOX,41,FALSE))</f>
        <v>0.86</v>
      </c>
      <c r="L30" s="414">
        <f t="shared" si="4"/>
        <v>0.86</v>
      </c>
      <c r="M30" s="435" t="str">
        <f t="shared" si="5"/>
        <v>Background Indoor Air</v>
      </c>
      <c r="N30" s="425">
        <f>IF(O30=0,0,(VLOOKUP(A30,[2]!CCalcs,12,FALSE)))</f>
        <v>7.4908704427640986E-4</v>
      </c>
      <c r="O30" s="425">
        <f>(VLOOKUP(A30,[2]!CCalcs,4,FALSE))</f>
        <v>0.58830130175942252</v>
      </c>
      <c r="P30" s="437">
        <v>1000</v>
      </c>
      <c r="Q30" s="437">
        <v>1</v>
      </c>
      <c r="R30" s="425">
        <f t="shared" si="6"/>
        <v>1.9514901161136635</v>
      </c>
      <c r="S30" s="414">
        <f>IF(R30=0,0,IF(VLOOKUP(A30,[1]!TOX,52,FALSE)=0,MIN(VLOOKUP(A30,[1]!TOX,79,FALSE),R30),MIN(VLOOKUP(A30,[1]!TOX,79,FALSE),R30,(VLOOKUP(A30,[1]!TOX,52,FALSE)))))</f>
        <v>1.9514901161136635</v>
      </c>
      <c r="T30" s="435" t="str">
        <f>IF(R30=0,0,IF(R30=S30,M30,IF(S30=(VLOOKUP(A30,[1]!TOX,52,FALSE)),"Greater than Solubility","Ceiling Value")))</f>
        <v>Background Indoor Air</v>
      </c>
      <c r="U30" s="356">
        <f>IF(R30=0,0,IF(AND([1]Toxicity!$AZ26&gt;0,R30&gt;[1]Toxicity!$AZ26,[1]Toxicity!$AZ26&lt;[1]Toxicity!$CA26),0,MAX(S30,[1]Toxicity!AY26,[1]Toxicity!AN26)))</f>
        <v>1.9514901161136635</v>
      </c>
      <c r="V30" s="354">
        <f t="shared" si="7"/>
        <v>2</v>
      </c>
      <c r="W30" s="355" t="str">
        <f>IF(R30=0,"NA",IF(U30=0,"NA, &gt; Solubility",IF(U30=S30,T30,IF(U30=(VLOOKUP(A30,[1]!TOX,40,FALSE)),"Groundwater Background","Water PQL"))))</f>
        <v>Background Indoor Air</v>
      </c>
    </row>
    <row r="31" spans="1:23" x14ac:dyDescent="0.25">
      <c r="A31" s="342" t="s">
        <v>183</v>
      </c>
      <c r="B31" s="356">
        <f>(VLOOKUP(A31,[1]!TOX,8,FALSE)*'[1]Target Risk'!$D$8*'GW-2 Exp'!$G$18*'GW-2 Exp'!$E$18)</f>
        <v>0.14000000000000001</v>
      </c>
      <c r="C31" s="414">
        <f>IF(VLOOKUP(A31,[1]!TOX,15,FALSE)=0,0,'[1]Target Risk'!$D$12/(VLOOKUP(A31,[1]!TOX,15,FALSE))*'GW-2 Exp'!$G$26)</f>
        <v>2.3333333333333331E-2</v>
      </c>
      <c r="D31" s="356">
        <f>IF(VLOOKUP(A31,[1]!TOX,15,FALSE)=0,0,IF(VLOOKUP(A31,[1]!TOX,36,FALSE)="M",'[1]Target Risk'!$D$12/((VLOOKUP(A31,[1]!TOX,15,FALSE))*(1*('GW-2 Exp'!$H$34))),0))</f>
        <v>0</v>
      </c>
      <c r="E31" s="415">
        <f>IF(VLOOKUP(A31,[1]!TOX,15,FALSE)=0,0,IF(VLOOKUP(A31,[1]!TOX,36,FALSE)="M",'[1]Target Risk'!$D$12/((VLOOKUP(A31,[1]!TOX,15,FALSE))*(1*('GW-2 Exp'!$H$34))),'[1]Target Risk'!$D$12/(VLOOKUP(A31,[1]!TOX,15,FALSE))*'GW-2 Exp'!$G$26))</f>
        <v>2.3333333333333331E-2</v>
      </c>
      <c r="F31" s="414">
        <f t="shared" si="0"/>
        <v>2.3333333333333331E-2</v>
      </c>
      <c r="G31" s="356" t="str">
        <f t="shared" si="1"/>
        <v>Cancer</v>
      </c>
      <c r="H31" s="437">
        <f>0.5*(VLOOKUP(A31,[1]!TOX,46,FALSE))</f>
        <v>4.2</v>
      </c>
      <c r="I31" s="356">
        <f t="shared" si="2"/>
        <v>2.3333333333333331E-2</v>
      </c>
      <c r="J31" s="356" t="str">
        <f t="shared" si="3"/>
        <v>Cancer</v>
      </c>
      <c r="K31" s="429">
        <f>(VLOOKUP(A31,[1]!TOX,41,FALSE))</f>
        <v>0</v>
      </c>
      <c r="L31" s="414">
        <f t="shared" si="4"/>
        <v>2.3333333333333331E-2</v>
      </c>
      <c r="M31" s="435" t="str">
        <f t="shared" si="5"/>
        <v>Cancer</v>
      </c>
      <c r="N31" s="425">
        <f>IF(O31=0,0,(VLOOKUP(A31,[2]!CCalcs,12,FALSE)))</f>
        <v>4.960783799783352E-4</v>
      </c>
      <c r="O31" s="425">
        <f>(VLOOKUP(A31,[2]!CCalcs,4,FALSE))</f>
        <v>5.9238933862757338E-4</v>
      </c>
      <c r="P31" s="437">
        <v>1000</v>
      </c>
      <c r="Q31" s="437">
        <v>1</v>
      </c>
      <c r="R31" s="425">
        <f t="shared" si="6"/>
        <v>79.399771279530768</v>
      </c>
      <c r="S31" s="414">
        <f>IF(R31=0,0,IF(VLOOKUP(A31,[1]!TOX,52,FALSE)=0,MIN(VLOOKUP(A31,[1]!TOX,79,FALSE),R31),MIN(VLOOKUP(A31,[1]!TOX,79,FALSE),R31,(VLOOKUP(A31,[1]!TOX,52,FALSE)))))</f>
        <v>13</v>
      </c>
      <c r="T31" s="435" t="str">
        <f>IF(R31=0,0,IF(R31=S31,M31,IF(S31=(VLOOKUP(A31,[1]!TOX,52,FALSE)),"Greater than Solubility","Ceiling Value")))</f>
        <v>Greater than Solubility</v>
      </c>
      <c r="U31" s="356">
        <f>IF(R31=0,0,IF(AND([1]Toxicity!$AZ27&gt;0,R31&gt;[1]Toxicity!$AZ27,[1]Toxicity!$AZ27&lt;[1]Toxicity!$CA27),0,MAX(S31,[1]Toxicity!AY27,[1]Toxicity!AN27)))</f>
        <v>0</v>
      </c>
      <c r="V31" s="354"/>
      <c r="W31" s="355" t="str">
        <f>IF(R31=0,"NA",IF(U31=0,"NA, &gt; Solubility",IF(U31=S31,T31,IF(U31=(VLOOKUP(A31,[1]!TOX,40,FALSE)),"Groundwater Background","Water PQL"))))</f>
        <v>NA, &gt; Solubility</v>
      </c>
    </row>
    <row r="32" spans="1:23" x14ac:dyDescent="0.25">
      <c r="A32" s="342" t="s">
        <v>184</v>
      </c>
      <c r="B32" s="356">
        <f>(VLOOKUP(A32,[1]!TOX,8,FALSE)*'[1]Target Risk'!$D$8*'GW-2 Exp'!$G$18*'GW-2 Exp'!$E$18)</f>
        <v>0.4</v>
      </c>
      <c r="C32" s="414">
        <f>IF(VLOOKUP(A32,[1]!TOX,15,FALSE)=0,0,'[1]Target Risk'!$D$12/(VLOOKUP(A32,[1]!TOX,15,FALSE))*'GW-2 Exp'!$G$26)</f>
        <v>0</v>
      </c>
      <c r="D32" s="356">
        <f>IF(VLOOKUP(A32,[1]!TOX,15,FALSE)=0,0,IF(VLOOKUP(A32,[1]!TOX,36,FALSE)="M",'[1]Target Risk'!$D$12/((VLOOKUP(A32,[1]!TOX,15,FALSE))*(1*('GW-2 Exp'!$H$34))),0))</f>
        <v>0</v>
      </c>
      <c r="E32" s="415">
        <f>IF(VLOOKUP(A32,[1]!TOX,15,FALSE)=0,0,IF(VLOOKUP(A32,[1]!TOX,36,FALSE)="M",'[1]Target Risk'!$D$12/((VLOOKUP(A32,[1]!TOX,15,FALSE))*(1*('GW-2 Exp'!$H$34))),'[1]Target Risk'!$D$12/(VLOOKUP(A32,[1]!TOX,15,FALSE))*'GW-2 Exp'!$G$26))</f>
        <v>0</v>
      </c>
      <c r="F32" s="414">
        <f t="shared" si="0"/>
        <v>0.4</v>
      </c>
      <c r="G32" s="356" t="str">
        <f t="shared" si="1"/>
        <v>Noncancer</v>
      </c>
      <c r="H32" s="437">
        <f>0.5*(VLOOKUP(A32,[1]!TOX,46,FALSE))</f>
        <v>0</v>
      </c>
      <c r="I32" s="356">
        <f t="shared" si="2"/>
        <v>0.4</v>
      </c>
      <c r="J32" s="356" t="str">
        <f t="shared" si="3"/>
        <v>Noncancer</v>
      </c>
      <c r="K32" s="429">
        <f>(VLOOKUP(A32,[1]!TOX,41,FALSE))</f>
        <v>0</v>
      </c>
      <c r="L32" s="414">
        <f t="shared" si="4"/>
        <v>0.4</v>
      </c>
      <c r="M32" s="435" t="str">
        <f t="shared" si="5"/>
        <v>Noncancer</v>
      </c>
      <c r="N32" s="425">
        <f>IF(O32=0,0,(VLOOKUP(A32,[2]!CCalcs,12,FALSE)))</f>
        <v>1.0915547053442299E-3</v>
      </c>
      <c r="O32" s="425">
        <f>(VLOOKUP(A32,[2]!CCalcs,4,FALSE))</f>
        <v>1.3240001417739026E-5</v>
      </c>
      <c r="P32" s="437">
        <v>1000</v>
      </c>
      <c r="Q32" s="437">
        <v>1</v>
      </c>
      <c r="R32" s="425">
        <f t="shared" si="6"/>
        <v>27677.474138106325</v>
      </c>
      <c r="S32" s="414">
        <f>IF(R32=0,0,IF(VLOOKUP(A32,[1]!TOX,52,FALSE)=0,MIN(VLOOKUP(A32,[1]!TOX,79,FALSE),R32),MIN(VLOOKUP(A32,[1]!TOX,79,FALSE),R32,(VLOOKUP(A32,[1]!TOX,52,FALSE)))))</f>
        <v>27677.474138106325</v>
      </c>
      <c r="T32" s="435" t="str">
        <f>IF(R32=0,0,IF(R32=S32,M32,IF(S32=(VLOOKUP(A32,[1]!TOX,52,FALSE)),"Greater than Solubility","Ceiling Value")))</f>
        <v>Noncancer</v>
      </c>
      <c r="U32" s="356">
        <f>IF(R32=0,0,IF(AND([1]Toxicity!$AZ28&gt;0,R32&gt;[1]Toxicity!$AZ28,[1]Toxicity!$AZ28&lt;[1]Toxicity!$CA28),0,MAX(S32,[1]Toxicity!AY28,[1]Toxicity!AN28)))</f>
        <v>27677.474138106325</v>
      </c>
      <c r="V32" s="354">
        <f t="shared" si="7"/>
        <v>30000</v>
      </c>
      <c r="W32" s="355" t="str">
        <f>IF(R32=0,"NA",IF(U32=0,"NA, &gt; Solubility",IF(U32=S32,T32,IF(U32=(VLOOKUP(A32,[1]!TOX,40,FALSE)),"Groundwater Background","Water PQL"))))</f>
        <v>Noncancer</v>
      </c>
    </row>
    <row r="33" spans="1:23" x14ac:dyDescent="0.25">
      <c r="A33" s="342" t="s">
        <v>185</v>
      </c>
      <c r="B33" s="356">
        <f>(VLOOKUP(A33,[1]!TOX,8,FALSE)*'[1]Target Risk'!$D$8*'GW-2 Exp'!$G$18*'GW-2 Exp'!$E$18)</f>
        <v>10.000000000000002</v>
      </c>
      <c r="C33" s="414">
        <f>IF(VLOOKUP(A33,[1]!TOX,15,FALSE)=0,0,'[1]Target Risk'!$D$12/(VLOOKUP(A33,[1]!TOX,15,FALSE))*'GW-2 Exp'!$G$26)</f>
        <v>0</v>
      </c>
      <c r="D33" s="356">
        <f>IF(VLOOKUP(A33,[1]!TOX,15,FALSE)=0,0,IF(VLOOKUP(A33,[1]!TOX,36,FALSE)="M",'[1]Target Risk'!$D$12/((VLOOKUP(A33,[1]!TOX,15,FALSE))*(1*('GW-2 Exp'!$H$34))),0))</f>
        <v>0</v>
      </c>
      <c r="E33" s="415">
        <f>IF(VLOOKUP(A33,[1]!TOX,15,FALSE)=0,0,IF(VLOOKUP(A33,[1]!TOX,36,FALSE)="M",'[1]Target Risk'!$D$12/((VLOOKUP(A33,[1]!TOX,15,FALSE))*(1*('GW-2 Exp'!$H$34))),'[1]Target Risk'!$D$12/(VLOOKUP(A33,[1]!TOX,15,FALSE))*'GW-2 Exp'!$G$26))</f>
        <v>0</v>
      </c>
      <c r="F33" s="414">
        <f t="shared" si="0"/>
        <v>10.000000000000002</v>
      </c>
      <c r="G33" s="356" t="str">
        <f t="shared" si="1"/>
        <v>Noncancer</v>
      </c>
      <c r="H33" s="437">
        <f>0.5*(VLOOKUP(A33,[1]!TOX,46,FALSE))</f>
        <v>500</v>
      </c>
      <c r="I33" s="356">
        <f t="shared" si="2"/>
        <v>10.000000000000002</v>
      </c>
      <c r="J33" s="356" t="str">
        <f t="shared" si="3"/>
        <v>Noncancer</v>
      </c>
      <c r="K33" s="429">
        <f>(VLOOKUP(A33,[1]!TOX,41,FALSE))</f>
        <v>10</v>
      </c>
      <c r="L33" s="414">
        <f t="shared" si="4"/>
        <v>10.000000000000002</v>
      </c>
      <c r="M33" s="435" t="str">
        <f t="shared" si="5"/>
        <v>Background Indoor Air</v>
      </c>
      <c r="N33" s="425">
        <f>IF(O33=0,0,(VLOOKUP(A33,[2]!CCalcs,12,FALSE)))</f>
        <v>7.3280791427857215E-4</v>
      </c>
      <c r="O33" s="425">
        <f>(VLOOKUP(A33,[2]!CCalcs,4,FALSE))</f>
        <v>5.5710309263413339E-2</v>
      </c>
      <c r="P33" s="437">
        <v>1000</v>
      </c>
      <c r="Q33" s="437">
        <v>1</v>
      </c>
      <c r="R33" s="425">
        <f t="shared" si="6"/>
        <v>244.94821534817021</v>
      </c>
      <c r="S33" s="414">
        <f>IF(R33=0,0,IF(VLOOKUP(A33,[1]!TOX,52,FALSE)=0,MIN(VLOOKUP(A33,[1]!TOX,79,FALSE),R33),MIN(VLOOKUP(A33,[1]!TOX,79,FALSE),R33,(VLOOKUP(A33,[1]!TOX,52,FALSE)))))</f>
        <v>244.94821534817021</v>
      </c>
      <c r="T33" s="435" t="str">
        <f>IF(R33=0,0,IF(R33=S33,M33,IF(S33=(VLOOKUP(A33,[1]!TOX,52,FALSE)),"Greater than Solubility","Ceiling Value")))</f>
        <v>Background Indoor Air</v>
      </c>
      <c r="U33" s="356">
        <f>IF(R33=0,0,IF(AND([1]Toxicity!$AZ29&gt;0,R33&gt;[1]Toxicity!$AZ29,[1]Toxicity!$AZ29&lt;[1]Toxicity!$CA29),0,MAX(S33,[1]Toxicity!AY29,[1]Toxicity!AN29)))</f>
        <v>244.94821534817021</v>
      </c>
      <c r="V33" s="354">
        <f t="shared" si="7"/>
        <v>200</v>
      </c>
      <c r="W33" s="355" t="str">
        <f>IF(R33=0,"NA",IF(U33=0,"NA, &gt; Solubility",IF(U33=S33,T33,IF(U33=(VLOOKUP(A33,[1]!TOX,40,FALSE)),"Groundwater Background","Water PQL"))))</f>
        <v>Background Indoor Air</v>
      </c>
    </row>
    <row r="34" spans="1:23" x14ac:dyDescent="0.25">
      <c r="A34" s="342" t="s">
        <v>186</v>
      </c>
      <c r="B34" s="356">
        <f>(VLOOKUP(A34,[1]!TOX,8,FALSE)*'[1]Target Risk'!$D$8*'GW-2 Exp'!$G$18*'GW-2 Exp'!$E$18)</f>
        <v>132</v>
      </c>
      <c r="C34" s="414">
        <f>IF(VLOOKUP(A34,[1]!TOX,15,FALSE)=0,0,'[1]Target Risk'!$D$12/(VLOOKUP(A34,[1]!TOX,15,FALSE))*'GW-2 Exp'!$G$26)</f>
        <v>0.10144927536231885</v>
      </c>
      <c r="D34" s="356">
        <f>IF(VLOOKUP(A34,[1]!TOX,15,FALSE)=0,0,IF(VLOOKUP(A34,[1]!TOX,36,FALSE)="M",'[1]Target Risk'!$D$12/((VLOOKUP(A34,[1]!TOX,15,FALSE))*(1*('GW-2 Exp'!$H$34))),0))</f>
        <v>0</v>
      </c>
      <c r="E34" s="415">
        <f>IF(VLOOKUP(A34,[1]!TOX,15,FALSE)=0,0,IF(VLOOKUP(A34,[1]!TOX,36,FALSE)="M",'[1]Target Risk'!$D$12/((VLOOKUP(A34,[1]!TOX,15,FALSE))*(1*('GW-2 Exp'!$H$34))),'[1]Target Risk'!$D$12/(VLOOKUP(A34,[1]!TOX,15,FALSE))*'GW-2 Exp'!$G$26))</f>
        <v>0.10144927536231885</v>
      </c>
      <c r="F34" s="414">
        <f t="shared" si="0"/>
        <v>0.10144927536231885</v>
      </c>
      <c r="G34" s="356" t="str">
        <f t="shared" si="1"/>
        <v>Cancer</v>
      </c>
      <c r="H34" s="437">
        <f>0.5*(VLOOKUP(A34,[1]!TOX,46,FALSE))</f>
        <v>210800</v>
      </c>
      <c r="I34" s="356">
        <f t="shared" si="2"/>
        <v>0.10144927536231885</v>
      </c>
      <c r="J34" s="356" t="str">
        <f t="shared" si="3"/>
        <v>Cancer</v>
      </c>
      <c r="K34" s="429">
        <f>(VLOOKUP(A34,[1]!TOX,41,FALSE))</f>
        <v>3</v>
      </c>
      <c r="L34" s="414">
        <f t="shared" si="4"/>
        <v>3</v>
      </c>
      <c r="M34" s="435" t="str">
        <f t="shared" si="5"/>
        <v>Background Indoor Air</v>
      </c>
      <c r="N34" s="425">
        <f>IF(O34=0,0,(VLOOKUP(A34,[2]!CCalcs,12,FALSE)))</f>
        <v>8.2345971616553336E-4</v>
      </c>
      <c r="O34" s="425">
        <f>(VLOOKUP(A34,[2]!CCalcs,4,FALSE))</f>
        <v>8.038498649868879E-2</v>
      </c>
      <c r="P34" s="437">
        <v>1000</v>
      </c>
      <c r="Q34" s="437">
        <v>1</v>
      </c>
      <c r="R34" s="425">
        <f t="shared" si="6"/>
        <v>45.321466407902086</v>
      </c>
      <c r="S34" s="414">
        <f>IF(R34=0,0,IF(VLOOKUP(A34,[1]!TOX,52,FALSE)=0,MIN(VLOOKUP(A34,[1]!TOX,79,FALSE),R34),MIN(VLOOKUP(A34,[1]!TOX,79,FALSE),R34,(VLOOKUP(A34,[1]!TOX,52,FALSE)))))</f>
        <v>45.321466407902086</v>
      </c>
      <c r="T34" s="435" t="str">
        <f>IF(R34=0,0,IF(R34=S34,M34,IF(S34=(VLOOKUP(A34,[1]!TOX,52,FALSE)),"Greater than Solubility","Ceiling Value")))</f>
        <v>Background Indoor Air</v>
      </c>
      <c r="U34" s="356">
        <f>IF(R34=0,0,IF(AND([1]Toxicity!$AZ30&gt;0,R34&gt;[1]Toxicity!$AZ30,[1]Toxicity!$AZ30&lt;[1]Toxicity!$CA30),0,MAX(S34,[1]Toxicity!AY30,[1]Toxicity!AN30)))</f>
        <v>45.321466407902086</v>
      </c>
      <c r="V34" s="354">
        <f t="shared" si="7"/>
        <v>50</v>
      </c>
      <c r="W34" s="355" t="str">
        <f>IF(R34=0,"NA",IF(U34=0,"NA, &gt; Solubility",IF(U34=S34,T34,IF(U34=(VLOOKUP(A34,[1]!TOX,40,FALSE)),"Groundwater Background","Water PQL"))))</f>
        <v>Background Indoor Air</v>
      </c>
    </row>
    <row r="35" spans="1:23" x14ac:dyDescent="0.25">
      <c r="A35" s="342" t="s">
        <v>187</v>
      </c>
      <c r="B35" s="356">
        <f>(VLOOKUP(A35,[1]!TOX,8,FALSE)*'[1]Target Risk'!$D$8*'GW-2 Exp'!$G$18*'GW-2 Exp'!$E$18)</f>
        <v>3.6</v>
      </c>
      <c r="C35" s="414">
        <f>IF(VLOOKUP(A35,[1]!TOX,15,FALSE)=0,0,'[1]Target Risk'!$D$12/(VLOOKUP(A35,[1]!TOX,15,FALSE))*'GW-2 Exp'!$G$26)</f>
        <v>0</v>
      </c>
      <c r="D35" s="356">
        <f>IF(VLOOKUP(A35,[1]!TOX,15,FALSE)=0,0,IF(VLOOKUP(A35,[1]!TOX,36,FALSE)="M",'[1]Target Risk'!$D$12/((VLOOKUP(A35,[1]!TOX,15,FALSE))*(1*('GW-2 Exp'!$H$34))),0))</f>
        <v>0</v>
      </c>
      <c r="E35" s="415">
        <f>IF(VLOOKUP(A35,[1]!TOX,15,FALSE)=0,0,IF(VLOOKUP(A35,[1]!TOX,36,FALSE)="M",'[1]Target Risk'!$D$12/((VLOOKUP(A35,[1]!TOX,15,FALSE))*(1*('GW-2 Exp'!$H$34))),'[1]Target Risk'!$D$12/(VLOOKUP(A35,[1]!TOX,15,FALSE))*'GW-2 Exp'!$G$26))</f>
        <v>0</v>
      </c>
      <c r="F35" s="414">
        <f t="shared" si="0"/>
        <v>3.6</v>
      </c>
      <c r="G35" s="356" t="str">
        <f t="shared" si="1"/>
        <v>Noncancer</v>
      </c>
      <c r="H35" s="437">
        <f>0.5*(VLOOKUP(A35,[1]!TOX,46,FALSE))</f>
        <v>9.5</v>
      </c>
      <c r="I35" s="356">
        <f t="shared" si="2"/>
        <v>3.6</v>
      </c>
      <c r="J35" s="356" t="str">
        <f t="shared" si="3"/>
        <v>Noncancer</v>
      </c>
      <c r="K35" s="429">
        <f>(VLOOKUP(A35,[1]!TOX,41,FALSE))</f>
        <v>0</v>
      </c>
      <c r="L35" s="414">
        <f t="shared" si="4"/>
        <v>3.6</v>
      </c>
      <c r="M35" s="435" t="str">
        <f t="shared" si="5"/>
        <v>Noncancer</v>
      </c>
      <c r="N35" s="425">
        <f>IF(O35=0,0,(VLOOKUP(A35,[2]!CCalcs,12,FALSE)))</f>
        <v>9.5154129270147447E-4</v>
      </c>
      <c r="O35" s="425">
        <f>(VLOOKUP(A35,[2]!CCalcs,4,FALSE))</f>
        <v>1.688026137579253E-4</v>
      </c>
      <c r="P35" s="437">
        <v>1000</v>
      </c>
      <c r="Q35" s="437">
        <v>1</v>
      </c>
      <c r="R35" s="425">
        <f t="shared" si="6"/>
        <v>22412.778249136758</v>
      </c>
      <c r="S35" s="414">
        <f>IF(R35=0,0,IF(VLOOKUP(A35,[1]!TOX,52,FALSE)=0,MIN(VLOOKUP(A35,[1]!TOX,79,FALSE),R35),MIN(VLOOKUP(A35,[1]!TOX,79,FALSE),R35,(VLOOKUP(A35,[1]!TOX,52,FALSE)))))</f>
        <v>22412.778249136758</v>
      </c>
      <c r="T35" s="435" t="str">
        <f>IF(R35=0,0,IF(R35=S35,M35,IF(S35=(VLOOKUP(A35,[1]!TOX,52,FALSE)),"Greater than Solubility","Ceiling Value")))</f>
        <v>Noncancer</v>
      </c>
      <c r="U35" s="356">
        <f>IF(R35=0,0,IF(AND([1]Toxicity!$AZ31&gt;0,R35&gt;[1]Toxicity!$AZ31,[1]Toxicity!$AZ31&lt;[1]Toxicity!$CA31),0,MAX(S35,[1]Toxicity!AY31,[1]Toxicity!AN31)))</f>
        <v>22412.778249136758</v>
      </c>
      <c r="V35" s="354">
        <f t="shared" si="7"/>
        <v>20000</v>
      </c>
      <c r="W35" s="355" t="str">
        <f>IF(R35=0,"NA",IF(U35=0,"NA, &gt; Solubility",IF(U35=S35,T35,IF(U35=(VLOOKUP(A35,[1]!TOX,40,FALSE)),"Groundwater Background","Water PQL"))))</f>
        <v>Noncancer</v>
      </c>
    </row>
    <row r="36" spans="1:23" x14ac:dyDescent="0.25">
      <c r="A36" s="342" t="s">
        <v>188</v>
      </c>
      <c r="B36" s="356">
        <f>(VLOOKUP(A36,[1]!TOX,8,FALSE)*'[1]Target Risk'!$D$8*'GW-2 Exp'!$G$18*'GW-2 Exp'!$E$18)</f>
        <v>0.02</v>
      </c>
      <c r="C36" s="414">
        <f>IF(VLOOKUP(A36,[1]!TOX,15,FALSE)=0,0,'[1]Target Risk'!$D$12/(VLOOKUP(A36,[1]!TOX,15,FALSE))*'GW-2 Exp'!$G$26)</f>
        <v>1.9444444444444446E-4</v>
      </c>
      <c r="D36" s="356">
        <f>IF(VLOOKUP(A36,[1]!TOX,15,FALSE)=0,0,IF(VLOOKUP(A36,[1]!TOX,36,FALSE)="M",'[1]Target Risk'!$D$12/((VLOOKUP(A36,[1]!TOX,15,FALSE))*(1*('GW-2 Exp'!$H$34))),0))</f>
        <v>0</v>
      </c>
      <c r="E36" s="415">
        <f>IF(VLOOKUP(A36,[1]!TOX,15,FALSE)=0,0,IF(VLOOKUP(A36,[1]!TOX,36,FALSE)="M",'[1]Target Risk'!$D$12/((VLOOKUP(A36,[1]!TOX,15,FALSE))*(1*('GW-2 Exp'!$H$34))),'[1]Target Risk'!$D$12/(VLOOKUP(A36,[1]!TOX,15,FALSE))*'GW-2 Exp'!$G$26))</f>
        <v>1.9444444444444446E-4</v>
      </c>
      <c r="F36" s="414">
        <f t="shared" si="0"/>
        <v>1.9444444444444446E-4</v>
      </c>
      <c r="G36" s="356" t="str">
        <f t="shared" si="1"/>
        <v>Cancer</v>
      </c>
      <c r="H36" s="437">
        <f>0.5*(VLOOKUP(A36,[1]!TOX,46,FALSE))</f>
        <v>0</v>
      </c>
      <c r="I36" s="356"/>
      <c r="J36" s="356">
        <f t="shared" si="3"/>
        <v>0</v>
      </c>
      <c r="K36" s="429">
        <f>(VLOOKUP(A36,[1]!TOX,41,FALSE))</f>
        <v>0</v>
      </c>
      <c r="L36" s="414"/>
      <c r="M36" s="435">
        <f t="shared" si="5"/>
        <v>0</v>
      </c>
      <c r="N36" s="425">
        <f>IF(O36=0,0,(VLOOKUP(A36,[2]!CCalcs,12,FALSE)))</f>
        <v>0</v>
      </c>
      <c r="O36" s="425">
        <f>(VLOOKUP(A36,[2]!CCalcs,4,FALSE))</f>
        <v>0</v>
      </c>
      <c r="P36" s="437"/>
      <c r="Q36" s="437"/>
      <c r="R36" s="425">
        <f t="shared" si="6"/>
        <v>0</v>
      </c>
      <c r="S36" s="414">
        <f>IF(R36=0,0,IF(VLOOKUP(A36,[1]!TOX,52,FALSE)=0,MIN(VLOOKUP(A36,[1]!TOX,79,FALSE),R36),MIN(VLOOKUP(A36,[1]!TOX,79,FALSE),R36,(VLOOKUP(A36,[1]!TOX,52,FALSE)))))</f>
        <v>0</v>
      </c>
      <c r="T36" s="435">
        <f>IF(R36=0,0,IF(R36=S36,M36,IF(S36=(VLOOKUP(A36,[1]!TOX,52,FALSE)),"Greater than Solubility","Ceiling Value")))</f>
        <v>0</v>
      </c>
      <c r="U36" s="356">
        <f>IF(R36=0,0,IF(AND([1]Toxicity!$AZ32&gt;0,R36&gt;[1]Toxicity!$AZ32,[1]Toxicity!$AZ32&lt;[1]Toxicity!$CA32),0,MAX(S36,[1]Toxicity!AY32,[1]Toxicity!AN32)))</f>
        <v>0</v>
      </c>
      <c r="V36" s="354">
        <f>MIN(V37,V38)</f>
        <v>0</v>
      </c>
      <c r="W36" s="355" t="str">
        <f>IF(R36=0,"NA",IF(U36=0,"NA, &gt; Solubility",IF(U36=S36,T36,IF(U36=(VLOOKUP(A36,[1]!TOX,40,FALSE)),"Groundwater Background","Water PQL"))))</f>
        <v>NA</v>
      </c>
    </row>
    <row r="37" spans="1:23" x14ac:dyDescent="0.25">
      <c r="A37" s="342" t="s">
        <v>189</v>
      </c>
      <c r="B37" s="356">
        <f>(VLOOKUP(A37,[1]!TOX,8,FALSE)*'[1]Target Risk'!$D$8*'GW-2 Exp'!$G$18*'GW-2 Exp'!$E$18)</f>
        <v>0.02</v>
      </c>
      <c r="C37" s="414">
        <f>IF(VLOOKUP(A37,[1]!TOX,15,FALSE)=0,0,'[1]Target Risk'!$D$12/(VLOOKUP(A37,[1]!TOX,15,FALSE))*'GW-2 Exp'!$G$26)</f>
        <v>0</v>
      </c>
      <c r="D37" s="356">
        <f>IF(VLOOKUP(A37,[1]!TOX,15,FALSE)=0,0,IF(VLOOKUP(A37,[1]!TOX,36,FALSE)="M",'[1]Target Risk'!$D$12/((VLOOKUP(A37,[1]!TOX,15,FALSE))*(1*('GW-2 Exp'!$H$34))),0))</f>
        <v>0</v>
      </c>
      <c r="E37" s="415">
        <f>IF(VLOOKUP(A37,[1]!TOX,15,FALSE)=0,0,IF(VLOOKUP(A37,[1]!TOX,36,FALSE)="M",'[1]Target Risk'!$D$12/((VLOOKUP(A37,[1]!TOX,15,FALSE))*(1*('GW-2 Exp'!$H$34))),'[1]Target Risk'!$D$12/(VLOOKUP(A37,[1]!TOX,15,FALSE))*'GW-2 Exp'!$G$26))</f>
        <v>0</v>
      </c>
      <c r="F37" s="414">
        <f t="shared" si="0"/>
        <v>0.02</v>
      </c>
      <c r="G37" s="356" t="str">
        <f t="shared" si="1"/>
        <v>Noncancer</v>
      </c>
      <c r="H37" s="437">
        <f>0.5*(VLOOKUP(A37,[1]!TOX,46,FALSE))</f>
        <v>0</v>
      </c>
      <c r="I37" s="356">
        <f t="shared" si="2"/>
        <v>0.02</v>
      </c>
      <c r="J37" s="356" t="str">
        <f t="shared" si="3"/>
        <v>Noncancer</v>
      </c>
      <c r="K37" s="429">
        <f>(VLOOKUP(A37,[1]!TOX,41,FALSE))</f>
        <v>0</v>
      </c>
      <c r="L37" s="414">
        <f t="shared" si="4"/>
        <v>0.02</v>
      </c>
      <c r="M37" s="435" t="str">
        <f t="shared" si="5"/>
        <v>Noncancer</v>
      </c>
      <c r="N37" s="425">
        <f>IF(O37=0,0,(VLOOKUP(A37,[2]!CCalcs,12,FALSE)))</f>
        <v>0</v>
      </c>
      <c r="O37" s="425">
        <f>(VLOOKUP(A37,[2]!CCalcs,4,FALSE))</f>
        <v>0</v>
      </c>
      <c r="P37" s="437">
        <v>1000</v>
      </c>
      <c r="Q37" s="437">
        <v>1</v>
      </c>
      <c r="R37" s="425">
        <f t="shared" si="6"/>
        <v>0</v>
      </c>
      <c r="S37" s="414">
        <f>IF(R37=0,0,IF(VLOOKUP(A37,[1]!TOX,52,FALSE)=0,MIN(VLOOKUP(A37,[1]!TOX,79,FALSE),R37),MIN(VLOOKUP(A37,[1]!TOX,79,FALSE),R37,(VLOOKUP(A37,[1]!TOX,52,FALSE)))))</f>
        <v>0</v>
      </c>
      <c r="T37" s="435">
        <f>IF(R37=0,0,IF(R37=S37,M37,IF(S37=(VLOOKUP(A37,[1]!TOX,52,FALSE)),"Greater than Solubility","Ceiling Value")))</f>
        <v>0</v>
      </c>
      <c r="U37" s="356">
        <f>IF(R37=0,0,IF(AND([1]Toxicity!$AZ33&gt;0,R37&gt;[1]Toxicity!$AZ33,[1]Toxicity!$AZ33&lt;[1]Toxicity!$CA33),0,MAX(S37,[1]Toxicity!AY33,[1]Toxicity!AN33)))</f>
        <v>0</v>
      </c>
      <c r="V37" s="354">
        <f>U37</f>
        <v>0</v>
      </c>
      <c r="W37" s="355" t="str">
        <f>IF(R37=0,"NA",IF(U37=0,"NA, &gt; Solubility",IF(U37=S37,T37,IF(U37=(VLOOKUP(A37,[1]!TOX,40,FALSE)),"Groundwater Background","Water PQL"))))</f>
        <v>NA</v>
      </c>
    </row>
    <row r="38" spans="1:23" x14ac:dyDescent="0.25">
      <c r="A38" s="342" t="s">
        <v>190</v>
      </c>
      <c r="B38" s="356">
        <f>(VLOOKUP(A38,[1]!TOX,8,FALSE)*'[1]Target Risk'!$D$8*'GW-2 Exp'!$G$18*'GW-2 Exp'!$E$18)</f>
        <v>0.02</v>
      </c>
      <c r="C38" s="414">
        <f>IF(VLOOKUP(A38,[1]!TOX,15,FALSE)=0,0,'[1]Target Risk'!$D$12/(VLOOKUP(A38,[1]!TOX,15,FALSE))*'GW-2 Exp'!$G$26)</f>
        <v>1.9444444444444446E-4</v>
      </c>
      <c r="D38" s="356">
        <f>IF(VLOOKUP(A38,[1]!TOX,15,FALSE)=0,0,IF(VLOOKUP(A38,[1]!TOX,36,FALSE)="M",'[1]Target Risk'!$D$12/((VLOOKUP(A38,[1]!TOX,15,FALSE))*(1*('GW-2 Exp'!$H$34))),0))</f>
        <v>0</v>
      </c>
      <c r="E38" s="415">
        <f>IF(VLOOKUP(A38,[1]!TOX,15,FALSE)=0,0,IF(VLOOKUP(A38,[1]!TOX,36,FALSE)="M",'[1]Target Risk'!$D$12/((VLOOKUP(A38,[1]!TOX,15,FALSE))*(1*('GW-2 Exp'!$H$34))),'[1]Target Risk'!$D$12/(VLOOKUP(A38,[1]!TOX,15,FALSE))*'GW-2 Exp'!$G$26))</f>
        <v>1.9444444444444446E-4</v>
      </c>
      <c r="F38" s="414">
        <f t="shared" si="0"/>
        <v>1.9444444444444446E-4</v>
      </c>
      <c r="G38" s="356" t="str">
        <f t="shared" si="1"/>
        <v>Cancer</v>
      </c>
      <c r="H38" s="437">
        <f>0.5*(VLOOKUP(A38,[1]!TOX,46,FALSE))</f>
        <v>0</v>
      </c>
      <c r="I38" s="356">
        <f t="shared" si="2"/>
        <v>1.9444444444444446E-4</v>
      </c>
      <c r="J38" s="356" t="str">
        <f t="shared" si="3"/>
        <v>Cancer</v>
      </c>
      <c r="K38" s="429">
        <f>(VLOOKUP(A38,[1]!TOX,41,FALSE))</f>
        <v>0</v>
      </c>
      <c r="L38" s="414">
        <f t="shared" si="4"/>
        <v>1.9444444444444446E-4</v>
      </c>
      <c r="M38" s="435" t="str">
        <f t="shared" si="5"/>
        <v>Cancer</v>
      </c>
      <c r="N38" s="425">
        <f>IF(O38=0,0,(VLOOKUP(A38,[2]!CCalcs,12,FALSE)))</f>
        <v>0</v>
      </c>
      <c r="O38" s="425">
        <f>(VLOOKUP(A38,[2]!CCalcs,4,FALSE))</f>
        <v>0</v>
      </c>
      <c r="P38" s="437">
        <v>1000</v>
      </c>
      <c r="Q38" s="437">
        <v>1</v>
      </c>
      <c r="R38" s="425">
        <f t="shared" si="6"/>
        <v>0</v>
      </c>
      <c r="S38" s="414">
        <f>IF(R38=0,0,IF(VLOOKUP(A38,[1]!TOX,52,FALSE)=0,MIN(VLOOKUP(A38,[1]!TOX,79,FALSE),R38),MIN(VLOOKUP(A38,[1]!TOX,79,FALSE),R38,(VLOOKUP(A38,[1]!TOX,52,FALSE)))))</f>
        <v>0</v>
      </c>
      <c r="T38" s="435">
        <f>IF(R38=0,0,IF(R38=S38,M38,IF(S38=(VLOOKUP(A38,[1]!TOX,52,FALSE)),"Greater than Solubility","Ceiling Value")))</f>
        <v>0</v>
      </c>
      <c r="U38" s="356">
        <f>IF(R38=0,0,IF(AND([1]Toxicity!$AZ34&gt;0,R38&gt;[1]Toxicity!$AZ34,[1]Toxicity!$AZ34&lt;[1]Toxicity!$CA34),0,MAX(S38,[1]Toxicity!AY34,[1]Toxicity!AN34)))</f>
        <v>0</v>
      </c>
      <c r="V38" s="354">
        <f>U38</f>
        <v>0</v>
      </c>
      <c r="W38" s="355" t="str">
        <f>IF(R38=0,"NA",IF(U38=0,"NA, &gt; Solubility",IF(U38=S38,T38,IF(U38=(VLOOKUP(A38,[1]!TOX,40,FALSE)),"Groundwater Background","Water PQL"))))</f>
        <v>NA</v>
      </c>
    </row>
    <row r="39" spans="1:23" x14ac:dyDescent="0.25">
      <c r="A39" s="342" t="s">
        <v>191</v>
      </c>
      <c r="B39" s="356">
        <f>(VLOOKUP(A39,[1]!TOX,8,FALSE)*'[1]Target Risk'!$D$8*'GW-2 Exp'!$G$18*'GW-2 Exp'!$E$18)</f>
        <v>10.000000000000002</v>
      </c>
      <c r="C39" s="759">
        <f>IF(VLOOKUP(A39,[1]!TOX,15,FALSE)=0,0,'[1]Target Risk'!$D$12/(VLOOKUP(A39,[1]!TOX,15,FALSE))*'GW-2 Exp'!$G$26)</f>
        <v>3.8888888888888893</v>
      </c>
      <c r="D39" s="356">
        <f>IF(VLOOKUP(A39,[1]!TOX,15,FALSE)=0,0,IF(VLOOKUP(A39,[1]!TOX,36,FALSE)="M",'[1]Target Risk'!$D$12/((VLOOKUP(A39,[1]!TOX,15,FALSE))*(1*('GW-2 Exp'!$H$34))),0))</f>
        <v>1.5350877192982457</v>
      </c>
      <c r="E39" s="415">
        <f>IF(VLOOKUP(A39,[1]!TOX,15,FALSE)=0,0,IF(VLOOKUP(A39,[1]!TOX,36,FALSE)="M",'[1]Target Risk'!$D$12/((VLOOKUP(A39,[1]!TOX,15,FALSE))*(1*('GW-2 Exp'!$H$34))),'[1]Target Risk'!$D$12/(VLOOKUP(A39,[1]!TOX,15,FALSE))*'GW-2 Exp'!$G$26))</f>
        <v>1.5350877192982457</v>
      </c>
      <c r="F39" s="414">
        <f t="shared" si="0"/>
        <v>1.5350877192982457</v>
      </c>
      <c r="G39" s="356" t="str">
        <f t="shared" si="1"/>
        <v>Cancer</v>
      </c>
      <c r="H39" s="437">
        <f>0.5*(VLOOKUP(A39,[1]!TOX,46,FALSE))</f>
        <v>0</v>
      </c>
      <c r="I39" s="356">
        <f t="shared" si="2"/>
        <v>1.5350877192982457</v>
      </c>
      <c r="J39" s="356" t="str">
        <f t="shared" si="3"/>
        <v>Cancer</v>
      </c>
      <c r="K39" s="429">
        <f>(VLOOKUP(A39,[1]!TOX,41,FALSE))</f>
        <v>0</v>
      </c>
      <c r="L39" s="414">
        <f t="shared" si="4"/>
        <v>1.5350877192982457</v>
      </c>
      <c r="M39" s="435" t="str">
        <f t="shared" si="5"/>
        <v>Cancer</v>
      </c>
      <c r="N39" s="425">
        <f>IF(O39=0,0,(VLOOKUP(A39,[2]!CCalcs,12,FALSE)))</f>
        <v>1.0116401242322747E-3</v>
      </c>
      <c r="O39" s="425">
        <f>(VLOOKUP(A39,[2]!CCalcs,4,FALSE))</f>
        <v>2.5286117134168198E-5</v>
      </c>
      <c r="P39" s="437">
        <v>1000</v>
      </c>
      <c r="Q39" s="437">
        <v>1</v>
      </c>
      <c r="R39" s="425">
        <f t="shared" si="6"/>
        <v>60010.190538228257</v>
      </c>
      <c r="S39" s="414">
        <f>IF(R39=0,0,IF(VLOOKUP(A39,[1]!TOX,52,FALSE)=0,MIN(VLOOKUP(A39,[1]!TOX,79,FALSE),R39),MIN(VLOOKUP(A39,[1]!TOX,79,FALSE),R39,(VLOOKUP(A39,[1]!TOX,52,FALSE)))))</f>
        <v>2</v>
      </c>
      <c r="T39" s="435" t="str">
        <f>IF(R39=0,0,IF(R39=S39,M39,IF(S39=(VLOOKUP(A39,[1]!TOX,52,FALSE)),"Greater than Solubility","Ceiling Value")))</f>
        <v>Greater than Solubility</v>
      </c>
      <c r="U39" s="356">
        <f>IF(R39=0,0,IF(AND([1]Toxicity!$AZ35&gt;0,R39&gt;[1]Toxicity!$AZ35,[1]Toxicity!$AZ35&lt;[1]Toxicity!$CA35),0,MAX(S39,[1]Toxicity!AY35,[1]Toxicity!AN35)))</f>
        <v>0</v>
      </c>
      <c r="V39" s="354"/>
      <c r="W39" s="355" t="str">
        <f>IF(R39=0,"NA",IF(U39=0,"NA, &gt; Solubility",IF(U39=S39,T39,IF(U39=(VLOOKUP(A39,[1]!TOX,40,FALSE)),"Groundwater Background","Water PQL"))))</f>
        <v>NA, &gt; Solubility</v>
      </c>
    </row>
    <row r="40" spans="1:23" x14ac:dyDescent="0.25">
      <c r="A40" s="342" t="s">
        <v>282</v>
      </c>
      <c r="B40" s="356">
        <f>(VLOOKUP(A40,[1]!TOX,8,FALSE)*'[1]Target Risk'!$D$8*'GW-2 Exp'!$G$18*'GW-2 Exp'!$E$18)</f>
        <v>0.16</v>
      </c>
      <c r="C40" s="414">
        <f>IF(VLOOKUP(A40,[1]!TOX,15,FALSE)=0,0,'[1]Target Risk'!$D$12/(VLOOKUP(A40,[1]!TOX,15,FALSE))*'GW-2 Exp'!$G$26)</f>
        <v>0</v>
      </c>
      <c r="D40" s="356">
        <f>IF(VLOOKUP(A40,[1]!TOX,15,FALSE)=0,0,IF(VLOOKUP(A40,[1]!TOX,36,FALSE)="M",'[1]Target Risk'!$D$12/((VLOOKUP(A40,[1]!TOX,15,FALSE))*(1*('GW-2 Exp'!$H$34))),0))</f>
        <v>0</v>
      </c>
      <c r="E40" s="415">
        <f>IF(VLOOKUP(A40,[1]!TOX,15,FALSE)=0,0,IF(VLOOKUP(A40,[1]!TOX,36,FALSE)="M",'[1]Target Risk'!$D$12/((VLOOKUP(A40,[1]!TOX,15,FALSE))*(1*('GW-2 Exp'!$H$34))),'[1]Target Risk'!$D$12/(VLOOKUP(A40,[1]!TOX,15,FALSE))*'GW-2 Exp'!$G$26))</f>
        <v>0</v>
      </c>
      <c r="F40" s="414">
        <f t="shared" si="0"/>
        <v>0.16</v>
      </c>
      <c r="G40" s="356" t="str">
        <f t="shared" si="1"/>
        <v>Noncancer</v>
      </c>
      <c r="H40" s="437">
        <f>0.5*(VLOOKUP(A40,[1]!TOX,46,FALSE))</f>
        <v>326</v>
      </c>
      <c r="I40" s="356">
        <f t="shared" si="2"/>
        <v>0.16</v>
      </c>
      <c r="J40" s="356" t="str">
        <f t="shared" si="3"/>
        <v>Noncancer</v>
      </c>
      <c r="K40" s="429">
        <f>(VLOOKUP(A40,[1]!TOX,41,FALSE))</f>
        <v>0</v>
      </c>
      <c r="L40" s="414">
        <f t="shared" si="4"/>
        <v>0.16</v>
      </c>
      <c r="M40" s="435" t="str">
        <f t="shared" si="5"/>
        <v>Noncancer</v>
      </c>
      <c r="N40" s="425">
        <f>IF(O40=0,0,(VLOOKUP(A40,[2]!CCalcs,12,FALSE)))</f>
        <v>0</v>
      </c>
      <c r="O40" s="425">
        <f>(VLOOKUP(A40,[2]!CCalcs,4,FALSE))</f>
        <v>0</v>
      </c>
      <c r="P40" s="437">
        <v>1000</v>
      </c>
      <c r="Q40" s="437">
        <v>1</v>
      </c>
      <c r="R40" s="425">
        <f t="shared" si="6"/>
        <v>0</v>
      </c>
      <c r="S40" s="414">
        <f>IF(R40=0,0,IF(VLOOKUP(A40,[1]!TOX,52,FALSE)=0,MIN(VLOOKUP(A40,[1]!TOX,79,FALSE),R40),MIN(VLOOKUP(A40,[1]!TOX,79,FALSE),R40,(VLOOKUP(A40,[1]!TOX,52,FALSE)))))</f>
        <v>0</v>
      </c>
      <c r="T40" s="435">
        <f>IF(R40=0,0,IF(R40=S40,M40,IF(S40=(VLOOKUP(A40,[1]!TOX,52,FALSE)),"Greater than Solubility","Ceiling Value")))</f>
        <v>0</v>
      </c>
      <c r="U40" s="356">
        <f>IF(R40=0,0,IF(AND([1]Toxicity!$AZ36&gt;0,R40&gt;[1]Toxicity!$AZ36,[1]Toxicity!$AZ36&lt;[1]Toxicity!$CA36),0,MAX(S40,[1]Toxicity!AY36,[1]Toxicity!AN36)))</f>
        <v>0</v>
      </c>
      <c r="V40" s="354">
        <f>U40</f>
        <v>0</v>
      </c>
      <c r="W40" s="355" t="str">
        <f>IF(R40=0,"NA",IF(U40=0,"NA, &gt; Solubility",IF(U40=S40,T40,IF(U40=(VLOOKUP(A40,[1]!TOX,40,FALSE)),"Groundwater Background","Water PQL"))))</f>
        <v>NA</v>
      </c>
    </row>
    <row r="41" spans="1:23" x14ac:dyDescent="0.25">
      <c r="A41" s="342" t="s">
        <v>192</v>
      </c>
      <c r="B41" s="356">
        <f>(VLOOKUP(A41,[1]!TOX,8,FALSE)*'[1]Target Risk'!$D$8*'GW-2 Exp'!$G$18*'GW-2 Exp'!$E$18)</f>
        <v>10.000000000000002</v>
      </c>
      <c r="C41" s="759">
        <f>IF(VLOOKUP(A41,[1]!TOX,15,FALSE)=0,0,'[1]Target Risk'!$D$12/(VLOOKUP(A41,[1]!TOX,15,FALSE))*'GW-2 Exp'!$G$26)</f>
        <v>3.8888888888888892E-3</v>
      </c>
      <c r="D41" s="356">
        <f>IF(VLOOKUP(A41,[1]!TOX,15,FALSE)=0,0,IF(VLOOKUP(A41,[1]!TOX,36,FALSE)="M",'[1]Target Risk'!$D$12/((VLOOKUP(A41,[1]!TOX,15,FALSE))*(1*('GW-2 Exp'!$H$34))),0))</f>
        <v>1.5350877192982456E-3</v>
      </c>
      <c r="E41" s="415">
        <f>IF(VLOOKUP(A41,[1]!TOX,15,FALSE)=0,0,IF(VLOOKUP(A41,[1]!TOX,36,FALSE)="M",'[1]Target Risk'!$D$12/((VLOOKUP(A41,[1]!TOX,15,FALSE))*(1*('GW-2 Exp'!$H$34))),'[1]Target Risk'!$D$12/(VLOOKUP(A41,[1]!TOX,15,FALSE))*'GW-2 Exp'!$G$26))</f>
        <v>1.5350877192982456E-3</v>
      </c>
      <c r="F41" s="414">
        <f t="shared" si="0"/>
        <v>1.5350877192982456E-3</v>
      </c>
      <c r="G41" s="356" t="str">
        <f t="shared" si="1"/>
        <v>Cancer</v>
      </c>
      <c r="H41" s="437">
        <f>0.5*(VLOOKUP(A41,[1]!TOX,46,FALSE))</f>
        <v>0</v>
      </c>
      <c r="I41" s="356">
        <f t="shared" si="2"/>
        <v>1.5350877192982456E-3</v>
      </c>
      <c r="J41" s="356" t="str">
        <f t="shared" si="3"/>
        <v>Cancer</v>
      </c>
      <c r="K41" s="429">
        <f>(VLOOKUP(A41,[1]!TOX,41,FALSE))</f>
        <v>0</v>
      </c>
      <c r="L41" s="414">
        <f t="shared" si="4"/>
        <v>1.5350877192982456E-3</v>
      </c>
      <c r="M41" s="435" t="str">
        <f t="shared" si="5"/>
        <v>Cancer</v>
      </c>
      <c r="N41" s="425">
        <f>IF(O41=0,0,(VLOOKUP(A41,[2]!CCalcs,12,FALSE)))</f>
        <v>1.0941805946240637E-3</v>
      </c>
      <c r="O41" s="425">
        <f>(VLOOKUP(A41,[2]!CCalcs,4,FALSE))</f>
        <v>5.8568008193185791E-7</v>
      </c>
      <c r="P41" s="437">
        <v>1000</v>
      </c>
      <c r="Q41" s="437">
        <v>1</v>
      </c>
      <c r="R41" s="425">
        <f t="shared" si="6"/>
        <v>2395.4313799952333</v>
      </c>
      <c r="S41" s="414">
        <f>IF(R41=0,0,IF(VLOOKUP(A41,[1]!TOX,52,FALSE)=0,MIN(VLOOKUP(A41,[1]!TOX,79,FALSE),R41),MIN(VLOOKUP(A41,[1]!TOX,79,FALSE),R41,(VLOOKUP(A41,[1]!TOX,52,FALSE)))))</f>
        <v>2.4900000000000002</v>
      </c>
      <c r="T41" s="435" t="str">
        <f>IF(R41=0,0,IF(R41=S41,M41,IF(S41=(VLOOKUP(A41,[1]!TOX,52,FALSE)),"Greater than Solubility","Ceiling Value")))</f>
        <v>Greater than Solubility</v>
      </c>
      <c r="U41" s="356">
        <f>IF(R41=0,0,IF(AND([1]Toxicity!$AZ37&gt;0,R41&gt;[1]Toxicity!$AZ37,[1]Toxicity!$AZ37&lt;[1]Toxicity!$CA37),0,MAX(S41,[1]Toxicity!AY37,[1]Toxicity!AN37)))</f>
        <v>0</v>
      </c>
      <c r="V41" s="354"/>
      <c r="W41" s="355" t="str">
        <f>IF(R41=0,"NA",IF(U41=0,"NA, &gt; Solubility",IF(U41=S41,T41,IF(U41=(VLOOKUP(A41,[1]!TOX,40,FALSE)),"Groundwater Background","Water PQL"))))</f>
        <v>NA, &gt; Solubility</v>
      </c>
    </row>
    <row r="42" spans="1:23" x14ac:dyDescent="0.25">
      <c r="A42" s="342" t="s">
        <v>193</v>
      </c>
      <c r="B42" s="356">
        <f>(VLOOKUP(A42,[1]!TOX,8,FALSE)*'[1]Target Risk'!$D$8*'GW-2 Exp'!$G$18*'GW-2 Exp'!$E$18)</f>
        <v>14.000000000000002</v>
      </c>
      <c r="C42" s="414">
        <f>IF(VLOOKUP(A42,[1]!TOX,15,FALSE)=0,0,'[1]Target Risk'!$D$12/(VLOOKUP(A42,[1]!TOX,15,FALSE))*'GW-2 Exp'!$G$26)</f>
        <v>9.7222222222222224E-2</v>
      </c>
      <c r="D42" s="356">
        <f>IF(VLOOKUP(A42,[1]!TOX,15,FALSE)=0,0,IF(VLOOKUP(A42,[1]!TOX,36,FALSE)="M",'[1]Target Risk'!$D$12/((VLOOKUP(A42,[1]!TOX,15,FALSE))*(1*('GW-2 Exp'!$H$34))),0))</f>
        <v>0</v>
      </c>
      <c r="E42" s="415">
        <f>IF(VLOOKUP(A42,[1]!TOX,15,FALSE)=0,0,IF(VLOOKUP(A42,[1]!TOX,36,FALSE)="M",'[1]Target Risk'!$D$12/((VLOOKUP(A42,[1]!TOX,15,FALSE))*(1*('GW-2 Exp'!$H$34))),'[1]Target Risk'!$D$12/(VLOOKUP(A42,[1]!TOX,15,FALSE))*'GW-2 Exp'!$G$26))</f>
        <v>9.7222222222222224E-2</v>
      </c>
      <c r="F42" s="414">
        <f t="shared" si="0"/>
        <v>9.7222222222222224E-2</v>
      </c>
      <c r="G42" s="356" t="str">
        <f t="shared" si="1"/>
        <v>Cancer</v>
      </c>
      <c r="H42" s="437">
        <f>0.5*(VLOOKUP(A42,[1]!TOX,46,FALSE))</f>
        <v>0</v>
      </c>
      <c r="I42" s="356">
        <f t="shared" si="2"/>
        <v>9.7222222222222224E-2</v>
      </c>
      <c r="J42" s="356" t="str">
        <f t="shared" si="3"/>
        <v>Cancer</v>
      </c>
      <c r="K42" s="429">
        <f>(VLOOKUP(A42,[1]!TOX,41,FALSE))</f>
        <v>0</v>
      </c>
      <c r="L42" s="414">
        <f t="shared" si="4"/>
        <v>9.7222222222222224E-2</v>
      </c>
      <c r="M42" s="435" t="str">
        <f t="shared" si="5"/>
        <v>Cancer</v>
      </c>
      <c r="N42" s="425">
        <f>IF(O42=0,0,(VLOOKUP(A42,[2]!CCalcs,12,FALSE)))</f>
        <v>3.893095341318103E-4</v>
      </c>
      <c r="O42" s="425">
        <f>(VLOOKUP(A42,[2]!CCalcs,4,FALSE))</f>
        <v>1.4815810518689737E-2</v>
      </c>
      <c r="P42" s="437">
        <v>1000</v>
      </c>
      <c r="Q42" s="437">
        <v>1</v>
      </c>
      <c r="R42" s="425">
        <f t="shared" si="6"/>
        <v>16.855633855911289</v>
      </c>
      <c r="S42" s="414">
        <f>IF(R42=0,0,IF(VLOOKUP(A42,[1]!TOX,52,FALSE)=0,MIN(VLOOKUP(A42,[1]!TOX,79,FALSE),R42),MIN(VLOOKUP(A42,[1]!TOX,79,FALSE),R42,(VLOOKUP(A42,[1]!TOX,52,FALSE)))))</f>
        <v>16.855633855911289</v>
      </c>
      <c r="T42" s="435" t="str">
        <f>IF(R42=0,0,IF(R42=S42,M42,IF(S42=(VLOOKUP(A42,[1]!TOX,52,FALSE)),"Greater than Solubility","Ceiling Value")))</f>
        <v>Cancer</v>
      </c>
      <c r="U42" s="356">
        <f>IF(R42=0,0,IF(AND([1]Toxicity!$AZ38&gt;0,R42&gt;[1]Toxicity!$AZ38,[1]Toxicity!$AZ38&lt;[1]Toxicity!$CA38),0,MAX(S42,[1]Toxicity!AY38,[1]Toxicity!AN38)))</f>
        <v>16.855633855911289</v>
      </c>
      <c r="V42" s="354">
        <f>ROUND(U42,-INT(LOG10(ABS(U42))))</f>
        <v>20</v>
      </c>
      <c r="W42" s="355" t="str">
        <f>IF(R42=0,"NA",IF(U42=0,"NA, &gt; Solubility",IF(U42=S42,T42,IF(U42=(VLOOKUP(A42,[1]!TOX,40,FALSE)),"Groundwater Background","Water PQL"))))</f>
        <v>Cancer</v>
      </c>
    </row>
    <row r="43" spans="1:23" x14ac:dyDescent="0.25">
      <c r="A43" s="342" t="s">
        <v>194</v>
      </c>
      <c r="B43" s="356">
        <f>(VLOOKUP(A43,[1]!TOX,8,FALSE)*'[1]Target Risk'!$D$8*'GW-2 Exp'!$G$18*'GW-2 Exp'!$E$18)</f>
        <v>160.00000000000003</v>
      </c>
      <c r="C43" s="414">
        <f>IF(VLOOKUP(A43,[1]!TOX,15,FALSE)=0,0,'[1]Target Risk'!$D$12/(VLOOKUP(A43,[1]!TOX,15,FALSE))*'GW-2 Exp'!$G$26)</f>
        <v>0</v>
      </c>
      <c r="D43" s="356">
        <f>IF(VLOOKUP(A43,[1]!TOX,15,FALSE)=0,0,IF(VLOOKUP(A43,[1]!TOX,36,FALSE)="M",'[1]Target Risk'!$D$12/((VLOOKUP(A43,[1]!TOX,15,FALSE))*(1*('GW-2 Exp'!$H$34))),0))</f>
        <v>0</v>
      </c>
      <c r="E43" s="415">
        <f>IF(VLOOKUP(A43,[1]!TOX,15,FALSE)=0,0,IF(VLOOKUP(A43,[1]!TOX,36,FALSE)="M",'[1]Target Risk'!$D$12/((VLOOKUP(A43,[1]!TOX,15,FALSE))*(1*('GW-2 Exp'!$H$34))),'[1]Target Risk'!$D$12/(VLOOKUP(A43,[1]!TOX,15,FALSE))*'GW-2 Exp'!$G$26))</f>
        <v>0</v>
      </c>
      <c r="F43" s="414">
        <f t="shared" si="0"/>
        <v>160.00000000000003</v>
      </c>
      <c r="G43" s="356" t="str">
        <f t="shared" si="1"/>
        <v>Noncancer</v>
      </c>
      <c r="H43" s="437">
        <f>0.5*(VLOOKUP(A43,[1]!TOX,46,FALSE))</f>
        <v>152500</v>
      </c>
      <c r="I43" s="356">
        <f t="shared" si="2"/>
        <v>160.00000000000003</v>
      </c>
      <c r="J43" s="356" t="str">
        <f t="shared" si="3"/>
        <v>Noncancer</v>
      </c>
      <c r="K43" s="429">
        <f>(VLOOKUP(A43,[1]!TOX,41,FALSE))</f>
        <v>0.72</v>
      </c>
      <c r="L43" s="414">
        <f t="shared" si="4"/>
        <v>160.00000000000003</v>
      </c>
      <c r="M43" s="435" t="str">
        <f t="shared" si="5"/>
        <v>Noncancer</v>
      </c>
      <c r="N43" s="425">
        <f>IF(O43=0,0,(VLOOKUP(A43,[2]!CCalcs,12,FALSE)))</f>
        <v>7.1887329263312625E-4</v>
      </c>
      <c r="O43" s="425">
        <f>(VLOOKUP(A43,[2]!CCalcs,4,FALSE))</f>
        <v>2.9062710588765327E-2</v>
      </c>
      <c r="P43" s="437">
        <v>1000</v>
      </c>
      <c r="Q43" s="437">
        <v>1</v>
      </c>
      <c r="R43" s="425">
        <f t="shared" si="6"/>
        <v>7658.2848583715968</v>
      </c>
      <c r="S43" s="414">
        <f>IF(R43=0,0,IF(VLOOKUP(A43,[1]!TOX,52,FALSE)=0,MIN(VLOOKUP(A43,[1]!TOX,79,FALSE),R43),MIN(VLOOKUP(A43,[1]!TOX,79,FALSE),R43,(VLOOKUP(A43,[1]!TOX,52,FALSE)))))</f>
        <v>7658.2848583715968</v>
      </c>
      <c r="T43" s="435" t="str">
        <f>IF(R43=0,0,IF(R43=S43,M43,IF(S43=(VLOOKUP(A43,[1]!TOX,52,FALSE)),"Greater than Solubility","Ceiling Value")))</f>
        <v>Noncancer</v>
      </c>
      <c r="U43" s="356">
        <f>IF(R43=0,0,IF(AND([1]Toxicity!$AZ39&gt;0,R43&gt;[1]Toxicity!$AZ39,[1]Toxicity!$AZ39&lt;[1]Toxicity!$CA39),0,MAX(S43,[1]Toxicity!AY39,[1]Toxicity!AN39)))</f>
        <v>7658.2848583715968</v>
      </c>
      <c r="V43" s="354">
        <f>ROUND(U43,-INT(LOG10(ABS(U43))))</f>
        <v>8000</v>
      </c>
      <c r="W43" s="355" t="str">
        <f>IF(R43=0,"NA",IF(U43=0,"NA, &gt; Solubility",IF(U43=S43,T43,IF(U43=(VLOOKUP(A43,[1]!TOX,40,FALSE)),"Groundwater Background","Water PQL"))))</f>
        <v>Noncancer</v>
      </c>
    </row>
    <row r="44" spans="1:23" x14ac:dyDescent="0.25">
      <c r="A44" s="342" t="s">
        <v>195</v>
      </c>
      <c r="B44" s="356">
        <f>(VLOOKUP(A44,[1]!TOX,8,FALSE)*'[1]Target Risk'!$D$8*'GW-2 Exp'!$G$18*'GW-2 Exp'!$E$18)</f>
        <v>160.00000000000003</v>
      </c>
      <c r="C44" s="414">
        <f>IF(VLOOKUP(A44,[1]!TOX,15,FALSE)=0,0,'[1]Target Risk'!$D$12/(VLOOKUP(A44,[1]!TOX,15,FALSE))*'GW-2 Exp'!$G$26)</f>
        <v>0</v>
      </c>
      <c r="D44" s="356">
        <f>IF(VLOOKUP(A44,[1]!TOX,15,FALSE)=0,0,IF(VLOOKUP(A44,[1]!TOX,36,FALSE)="M",'[1]Target Risk'!$D$12/((VLOOKUP(A44,[1]!TOX,15,FALSE))*(1*('GW-2 Exp'!$H$34))),0))</f>
        <v>0</v>
      </c>
      <c r="E44" s="415">
        <f>IF(VLOOKUP(A44,[1]!TOX,15,FALSE)=0,0,IF(VLOOKUP(A44,[1]!TOX,36,FALSE)="M",'[1]Target Risk'!$D$12/((VLOOKUP(A44,[1]!TOX,15,FALSE))*(1*('GW-2 Exp'!$H$34))),'[1]Target Risk'!$D$12/(VLOOKUP(A44,[1]!TOX,15,FALSE))*'GW-2 Exp'!$G$26))</f>
        <v>0</v>
      </c>
      <c r="F44" s="414">
        <f t="shared" si="0"/>
        <v>160.00000000000003</v>
      </c>
      <c r="G44" s="356" t="str">
        <f t="shared" si="1"/>
        <v>Noncancer</v>
      </c>
      <c r="H44" s="437">
        <f>0.5*(VLOOKUP(A44,[1]!TOX,46,FALSE))</f>
        <v>0</v>
      </c>
      <c r="I44" s="356">
        <f t="shared" si="2"/>
        <v>160.00000000000003</v>
      </c>
      <c r="J44" s="356" t="str">
        <f t="shared" si="3"/>
        <v>Noncancer</v>
      </c>
      <c r="K44" s="429">
        <f>(VLOOKUP(A44,[1]!TOX,41,FALSE))</f>
        <v>0.6</v>
      </c>
      <c r="L44" s="414">
        <f t="shared" si="4"/>
        <v>160.00000000000003</v>
      </c>
      <c r="M44" s="435" t="str">
        <f t="shared" si="5"/>
        <v>Noncancer</v>
      </c>
      <c r="N44" s="425">
        <f>IF(O44=0,0,(VLOOKUP(A44,[2]!CCalcs,12,FALSE)))</f>
        <v>7.1425245683922277E-4</v>
      </c>
      <c r="O44" s="425">
        <f>(VLOOKUP(A44,[2]!CCalcs,4,FALSE))</f>
        <v>3.6778426722618329E-2</v>
      </c>
      <c r="P44" s="437">
        <v>1000</v>
      </c>
      <c r="Q44" s="437">
        <v>1</v>
      </c>
      <c r="R44" s="425">
        <f t="shared" si="6"/>
        <v>6090.8105643105728</v>
      </c>
      <c r="S44" s="414">
        <f>IF(R44=0,0,IF(VLOOKUP(A44,[1]!TOX,52,FALSE)=0,MIN(VLOOKUP(A44,[1]!TOX,79,FALSE),R44),MIN(VLOOKUP(A44,[1]!TOX,79,FALSE),R44,(VLOOKUP(A44,[1]!TOX,52,FALSE)))))</f>
        <v>6090.8105643105728</v>
      </c>
      <c r="T44" s="435" t="str">
        <f>IF(R44=0,0,IF(R44=S44,M44,IF(S44=(VLOOKUP(A44,[1]!TOX,52,FALSE)),"Greater than Solubility","Ceiling Value")))</f>
        <v>Noncancer</v>
      </c>
      <c r="U44" s="356">
        <f>IF(R44=0,0,IF(AND([1]Toxicity!$AZ40&gt;0,R44&gt;[1]Toxicity!$AZ40,[1]Toxicity!$AZ40&lt;[1]Toxicity!$CA40),0,MAX(S44,[1]Toxicity!AY40,[1]Toxicity!AN40)))</f>
        <v>6090.8105643105728</v>
      </c>
      <c r="V44" s="354">
        <f>ROUND(U44,-INT(LOG10(ABS(U44))))</f>
        <v>6000</v>
      </c>
      <c r="W44" s="355" t="str">
        <f>IF(R44=0,"NA",IF(U44=0,"NA, &gt; Solubility",IF(U44=S44,T44,IF(U44=(VLOOKUP(A44,[1]!TOX,40,FALSE)),"Groundwater Background","Water PQL"))))</f>
        <v>Noncancer</v>
      </c>
    </row>
    <row r="45" spans="1:23" x14ac:dyDescent="0.25">
      <c r="A45" s="342" t="s">
        <v>196</v>
      </c>
      <c r="B45" s="356">
        <f>(VLOOKUP(A45,[1]!TOX,8,FALSE)*'[1]Target Risk'!$D$8*'GW-2 Exp'!$G$18*'GW-2 Exp'!$E$18)</f>
        <v>160.00000000000003</v>
      </c>
      <c r="C45" s="414">
        <f>IF(VLOOKUP(A45,[1]!TOX,15,FALSE)=0,0,'[1]Target Risk'!$D$12/(VLOOKUP(A45,[1]!TOX,15,FALSE))*'GW-2 Exp'!$G$26)</f>
        <v>0.34027777777777773</v>
      </c>
      <c r="D45" s="356">
        <f>IF(VLOOKUP(A45,[1]!TOX,15,FALSE)=0,0,IF(VLOOKUP(A45,[1]!TOX,36,FALSE)="M",'[1]Target Risk'!$D$12/((VLOOKUP(A45,[1]!TOX,15,FALSE))*(1*('GW-2 Exp'!$H$34))),0))</f>
        <v>0</v>
      </c>
      <c r="E45" s="415">
        <f>IF(VLOOKUP(A45,[1]!TOX,15,FALSE)=0,0,IF(VLOOKUP(A45,[1]!TOX,36,FALSE)="M",'[1]Target Risk'!$D$12/((VLOOKUP(A45,[1]!TOX,15,FALSE))*(1*('GW-2 Exp'!$H$34))),'[1]Target Risk'!$D$12/(VLOOKUP(A45,[1]!TOX,15,FALSE))*'GW-2 Exp'!$G$26))</f>
        <v>0.34027777777777773</v>
      </c>
      <c r="F45" s="414">
        <f t="shared" si="0"/>
        <v>0.34027777777777773</v>
      </c>
      <c r="G45" s="356" t="str">
        <f t="shared" si="1"/>
        <v>Cancer</v>
      </c>
      <c r="H45" s="437">
        <f>0.5*(VLOOKUP(A45,[1]!TOX,46,FALSE))</f>
        <v>550</v>
      </c>
      <c r="I45" s="356">
        <f t="shared" si="2"/>
        <v>0.34027777777777773</v>
      </c>
      <c r="J45" s="356" t="str">
        <f t="shared" si="3"/>
        <v>Cancer</v>
      </c>
      <c r="K45" s="429">
        <f>(VLOOKUP(A45,[1]!TOX,41,FALSE))</f>
        <v>1.5</v>
      </c>
      <c r="L45" s="414">
        <f t="shared" si="4"/>
        <v>1.5</v>
      </c>
      <c r="M45" s="435" t="str">
        <f t="shared" si="5"/>
        <v>Background Indoor Air</v>
      </c>
      <c r="N45" s="425">
        <f>IF(O45=0,0,(VLOOKUP(A45,[2]!CCalcs,12,FALSE)))</f>
        <v>7.1809022277821483E-4</v>
      </c>
      <c r="O45" s="425">
        <f>(VLOOKUP(A45,[2]!CCalcs,4,FALSE))</f>
        <v>3.7955932336940716E-2</v>
      </c>
      <c r="P45" s="437">
        <v>1000</v>
      </c>
      <c r="Q45" s="437">
        <v>1</v>
      </c>
      <c r="R45" s="425">
        <f t="shared" si="6"/>
        <v>55.034190360687703</v>
      </c>
      <c r="S45" s="414">
        <f>IF(R45=0,0,IF(VLOOKUP(A45,[1]!TOX,52,FALSE)=0,MIN(VLOOKUP(A45,[1]!TOX,79,FALSE),R45),MIN(VLOOKUP(A45,[1]!TOX,79,FALSE),R45,(VLOOKUP(A45,[1]!TOX,52,FALSE)))))</f>
        <v>55.034190360687703</v>
      </c>
      <c r="T45" s="435" t="str">
        <f>IF(R45=0,0,IF(R45=S45,M45,IF(S45=(VLOOKUP(A45,[1]!TOX,52,FALSE)),"Greater than Solubility","Ceiling Value")))</f>
        <v>Background Indoor Air</v>
      </c>
      <c r="U45" s="356">
        <f>IF(R45=0,0,IF(AND([1]Toxicity!$AZ41&gt;0,R45&gt;[1]Toxicity!$AZ41,[1]Toxicity!$AZ41&lt;[1]Toxicity!$CA41),0,MAX(S45,[1]Toxicity!AY41,[1]Toxicity!AN41)))</f>
        <v>55.034190360687703</v>
      </c>
      <c r="V45" s="354">
        <f>ROUND(U45,-INT(LOG10(ABS(U45))))</f>
        <v>60</v>
      </c>
      <c r="W45" s="355" t="str">
        <f>IF(R45=0,"NA",IF(U45=0,"NA, &gt; Solubility",IF(U45=S45,T45,IF(U45=(VLOOKUP(A45,[1]!TOX,40,FALSE)),"Groundwater Background","Water PQL"))))</f>
        <v>Background Indoor Air</v>
      </c>
    </row>
    <row r="46" spans="1:23" x14ac:dyDescent="0.25">
      <c r="A46" s="342" t="s">
        <v>197</v>
      </c>
      <c r="B46" s="356">
        <f>(VLOOKUP(A46,[1]!TOX,8,FALSE)*'[1]Target Risk'!$D$8*'GW-2 Exp'!$G$18*'GW-2 Exp'!$E$18)</f>
        <v>0</v>
      </c>
      <c r="C46" s="414">
        <f>IF(VLOOKUP(A46,[1]!TOX,15,FALSE)=0,0,'[1]Target Risk'!$D$12/(VLOOKUP(A46,[1]!TOX,15,FALSE))*'GW-2 Exp'!$G$26)</f>
        <v>1.8148148148148149E-2</v>
      </c>
      <c r="D46" s="356">
        <f>IF(VLOOKUP(A46,[1]!TOX,15,FALSE)=0,0,IF(VLOOKUP(A46,[1]!TOX,36,FALSE)="M",'[1]Target Risk'!$D$12/((VLOOKUP(A46,[1]!TOX,15,FALSE))*(1*('GW-2 Exp'!$H$34))),0))</f>
        <v>0</v>
      </c>
      <c r="E46" s="415">
        <f>IF(VLOOKUP(A46,[1]!TOX,15,FALSE)=0,0,IF(VLOOKUP(A46,[1]!TOX,36,FALSE)="M",'[1]Target Risk'!$D$12/((VLOOKUP(A46,[1]!TOX,15,FALSE))*(1*('GW-2 Exp'!$H$34))),'[1]Target Risk'!$D$12/(VLOOKUP(A46,[1]!TOX,15,FALSE))*'GW-2 Exp'!$G$26))</f>
        <v>1.8148148148148149E-2</v>
      </c>
      <c r="F46" s="414">
        <f t="shared" si="0"/>
        <v>1.8148148148148149E-2</v>
      </c>
      <c r="G46" s="356" t="str">
        <f t="shared" si="1"/>
        <v>Cancer</v>
      </c>
      <c r="H46" s="437">
        <f>0.5*(VLOOKUP(A46,[1]!TOX,46,FALSE))</f>
        <v>0</v>
      </c>
      <c r="I46" s="356">
        <f t="shared" si="2"/>
        <v>1.8148148148148149E-2</v>
      </c>
      <c r="J46" s="356" t="str">
        <f t="shared" si="3"/>
        <v>Cancer</v>
      </c>
      <c r="K46" s="429">
        <f>(VLOOKUP(A46,[1]!TOX,41,FALSE))</f>
        <v>0</v>
      </c>
      <c r="L46" s="414">
        <f t="shared" si="4"/>
        <v>1.8148148148148149E-2</v>
      </c>
      <c r="M46" s="435" t="str">
        <f t="shared" si="5"/>
        <v>Cancer</v>
      </c>
      <c r="N46" s="425">
        <f>IF(O46=0,0,(VLOOKUP(A46,[2]!CCalcs,12,FALSE)))</f>
        <v>6.733045551759396E-3</v>
      </c>
      <c r="O46" s="425">
        <f>(VLOOKUP(A46,[2]!CCalcs,4,FALSE))</f>
        <v>2.2944407315239418E-10</v>
      </c>
      <c r="P46" s="437">
        <v>1000</v>
      </c>
      <c r="Q46" s="437">
        <v>1</v>
      </c>
      <c r="R46" s="425">
        <f t="shared" si="6"/>
        <v>11747458.499258203</v>
      </c>
      <c r="S46" s="414">
        <f>IF(R46=0,0,IF(VLOOKUP(A46,[1]!TOX,52,FALSE)=0,MIN(VLOOKUP(A46,[1]!TOX,79,FALSE),R46),MIN(VLOOKUP(A46,[1]!TOX,79,FALSE),R46,(VLOOKUP(A46,[1]!TOX,52,FALSE)))))</f>
        <v>3100</v>
      </c>
      <c r="T46" s="435" t="str">
        <f>IF(R46=0,0,IF(R46=S46,M46,IF(S46=(VLOOKUP(A46,[1]!TOX,52,FALSE)),"Greater than Solubility","Ceiling Value")))</f>
        <v>Greater than Solubility</v>
      </c>
      <c r="U46" s="356">
        <f>IF(R46=0,0,IF(AND([1]Toxicity!$AZ42&gt;0,R46&gt;[1]Toxicity!$AZ42,[1]Toxicity!$AZ42&lt;[1]Toxicity!$CA42),0,MAX(S46,[1]Toxicity!AY42,[1]Toxicity!AN42)))</f>
        <v>0</v>
      </c>
      <c r="V46" s="354"/>
      <c r="W46" s="355" t="str">
        <f>IF(R46=0,"NA",IF(U46=0,"NA, &gt; Solubility",IF(U46=S46,T46,IF(U46=(VLOOKUP(A46,[1]!TOX,40,FALSE)),"Groundwater Background","Water PQL"))))</f>
        <v>NA, &gt; Solubility</v>
      </c>
    </row>
    <row r="47" spans="1:23" ht="20" x14ac:dyDescent="0.25">
      <c r="A47" s="342" t="s">
        <v>198</v>
      </c>
      <c r="B47" s="356">
        <f>(VLOOKUP(A47,[1]!TOX,8,FALSE)*'[1]Target Risk'!$D$8*'GW-2 Exp'!$G$18*'GW-2 Exp'!$E$18)</f>
        <v>0.36000000000000004</v>
      </c>
      <c r="C47" s="414">
        <f>IF(VLOOKUP(A47,[1]!TOX,15,FALSE)=0,0,'[1]Target Risk'!$D$12/(VLOOKUP(A47,[1]!TOX,15,FALSE))*'GW-2 Exp'!$G$26)</f>
        <v>3.4027777777777782E-2</v>
      </c>
      <c r="D47" s="356">
        <f>IF(VLOOKUP(A47,[1]!TOX,15,FALSE)=0,0,IF(VLOOKUP(A47,[1]!TOX,36,FALSE)="M",'[1]Target Risk'!$D$12/((VLOOKUP(A47,[1]!TOX,15,FALSE))*(1*('GW-2 Exp'!$H$34))),0))</f>
        <v>0</v>
      </c>
      <c r="E47" s="415">
        <f>IF(VLOOKUP(A47,[1]!TOX,15,FALSE)=0,0,IF(VLOOKUP(A47,[1]!TOX,36,FALSE)="M",'[1]Target Risk'!$D$12/((VLOOKUP(A47,[1]!TOX,15,FALSE))*(1*('GW-2 Exp'!$H$34))),'[1]Target Risk'!$D$12/(VLOOKUP(A47,[1]!TOX,15,FALSE))*'GW-2 Exp'!$G$26))</f>
        <v>3.4027777777777782E-2</v>
      </c>
      <c r="F47" s="414">
        <f t="shared" si="0"/>
        <v>3.4027777777777782E-2</v>
      </c>
      <c r="G47" s="356" t="str">
        <f t="shared" si="1"/>
        <v>Cancer</v>
      </c>
      <c r="H47" s="437">
        <f>0.5*(VLOOKUP(A47,[1]!TOX,46,FALSE))</f>
        <v>0</v>
      </c>
      <c r="I47" s="356">
        <f t="shared" si="2"/>
        <v>3.4027777777777782E-2</v>
      </c>
      <c r="J47" s="356" t="str">
        <f t="shared" si="3"/>
        <v>Cancer</v>
      </c>
      <c r="K47" s="429">
        <f>(VLOOKUP(A47,[1]!TOX,41,FALSE))</f>
        <v>0</v>
      </c>
      <c r="L47" s="414">
        <f t="shared" si="4"/>
        <v>3.4027777777777782E-2</v>
      </c>
      <c r="M47" s="435" t="str">
        <f t="shared" si="5"/>
        <v>Cancer</v>
      </c>
      <c r="N47" s="425">
        <f>IF(O47=0,0,(VLOOKUP(A47,[2]!CCalcs,12,FALSE)))</f>
        <v>9.2223369389128542E-4</v>
      </c>
      <c r="O47" s="425">
        <f>(VLOOKUP(A47,[2]!CCalcs,4,FALSE))</f>
        <v>4.4653432496889723E-5</v>
      </c>
      <c r="P47" s="437">
        <v>1000</v>
      </c>
      <c r="Q47" s="437">
        <v>1</v>
      </c>
      <c r="R47" s="425">
        <f t="shared" si="6"/>
        <v>826.30000268676918</v>
      </c>
      <c r="S47" s="414">
        <f>IF(R47=0,0,IF(VLOOKUP(A47,[1]!TOX,52,FALSE)=0,MIN(VLOOKUP(A47,[1]!TOX,79,FALSE),R47),MIN(VLOOKUP(A47,[1]!TOX,79,FALSE),R47,(VLOOKUP(A47,[1]!TOX,52,FALSE)))))</f>
        <v>90</v>
      </c>
      <c r="T47" s="435" t="str">
        <f>IF(R47=0,0,IF(R47=S47,M47,IF(S47=(VLOOKUP(A47,[1]!TOX,52,FALSE)),"Greater than Solubility","Ceiling Value")))</f>
        <v>Greater than Solubility</v>
      </c>
      <c r="U47" s="356">
        <f>IF(R47=0,0,IF(AND([1]Toxicity!$AZ43&gt;0,R47&gt;[1]Toxicity!$AZ43,[1]Toxicity!$AZ43&lt;[1]Toxicity!$CA43),0,MAX(S47,[1]Toxicity!AY43,[1]Toxicity!AN43)))</f>
        <v>0</v>
      </c>
      <c r="V47" s="354"/>
      <c r="W47" s="355" t="str">
        <f>IF(R47=0,"NA",IF(U47=0,"NA, &gt; Solubility",IF(U47=S47,T47,IF(U47=(VLOOKUP(A47,[1]!TOX,40,FALSE)),"Groundwater Background","Water PQL"))))</f>
        <v>NA, &gt; Solubility</v>
      </c>
    </row>
    <row r="48" spans="1:23" ht="20" x14ac:dyDescent="0.25">
      <c r="A48" s="342" t="s">
        <v>199</v>
      </c>
      <c r="B48" s="356">
        <f>(VLOOKUP(A48,[1]!TOX,8,FALSE)*'[1]Target Risk'!$D$8*'GW-2 Exp'!$G$18*'GW-2 Exp'!$E$18)</f>
        <v>0.36000000000000004</v>
      </c>
      <c r="C48" s="414">
        <f>IF(VLOOKUP(A48,[1]!TOX,15,FALSE)=0,0,'[1]Target Risk'!$D$12/(VLOOKUP(A48,[1]!TOX,15,FALSE))*'GW-2 Exp'!$G$26)</f>
        <v>2.4019607843137249E-2</v>
      </c>
      <c r="D48" s="356">
        <f>IF(VLOOKUP(A48,[1]!TOX,15,FALSE)=0,0,IF(VLOOKUP(A48,[1]!TOX,36,FALSE)="M",'[1]Target Risk'!$D$12/((VLOOKUP(A48,[1]!TOX,15,FALSE))*(1*('GW-2 Exp'!$H$34))),0))</f>
        <v>0</v>
      </c>
      <c r="E48" s="415">
        <f>IF(VLOOKUP(A48,[1]!TOX,15,FALSE)=0,0,IF(VLOOKUP(A48,[1]!TOX,36,FALSE)="M",'[1]Target Risk'!$D$12/((VLOOKUP(A48,[1]!TOX,15,FALSE))*(1*('GW-2 Exp'!$H$34))),'[1]Target Risk'!$D$12/(VLOOKUP(A48,[1]!TOX,15,FALSE))*'GW-2 Exp'!$G$26))</f>
        <v>2.4019607843137249E-2</v>
      </c>
      <c r="F48" s="414">
        <f t="shared" si="0"/>
        <v>2.4019607843137249E-2</v>
      </c>
      <c r="G48" s="356" t="str">
        <f t="shared" si="1"/>
        <v>Cancer</v>
      </c>
      <c r="H48" s="437">
        <f>0.5*(VLOOKUP(A48,[1]!TOX,46,FALSE))</f>
        <v>0</v>
      </c>
      <c r="I48" s="356">
        <f t="shared" si="2"/>
        <v>2.4019607843137249E-2</v>
      </c>
      <c r="J48" s="356" t="str">
        <f t="shared" si="3"/>
        <v>Cancer</v>
      </c>
      <c r="K48" s="429">
        <f>(VLOOKUP(A48,[1]!TOX,41,FALSE))</f>
        <v>0</v>
      </c>
      <c r="L48" s="414">
        <f t="shared" si="4"/>
        <v>2.4019607843137249E-2</v>
      </c>
      <c r="M48" s="435" t="str">
        <f t="shared" si="5"/>
        <v>Cancer</v>
      </c>
      <c r="N48" s="425">
        <f>IF(O48=0,0,(VLOOKUP(A48,[2]!CCalcs,12,FALSE)))</f>
        <v>6.7410359194544709E-4</v>
      </c>
      <c r="O48" s="425">
        <f>(VLOOKUP(A48,[2]!CCalcs,4,FALSE))</f>
        <v>3.226150761555916E-4</v>
      </c>
      <c r="P48" s="437">
        <v>1000</v>
      </c>
      <c r="Q48" s="437">
        <v>1</v>
      </c>
      <c r="R48" s="425">
        <f t="shared" si="6"/>
        <v>110.44717518068984</v>
      </c>
      <c r="S48" s="414">
        <f>IF(R48=0,0,IF(VLOOKUP(A48,[1]!TOX,52,FALSE)=0,MIN(VLOOKUP(A48,[1]!TOX,79,FALSE),R48),MIN(VLOOKUP(A48,[1]!TOX,79,FALSE),R48,(VLOOKUP(A48,[1]!TOX,52,FALSE)))))</f>
        <v>40</v>
      </c>
      <c r="T48" s="435" t="str">
        <f>IF(R48=0,0,IF(R48=S48,M48,IF(S48=(VLOOKUP(A48,[1]!TOX,52,FALSE)),"Greater than Solubility","Ceiling Value")))</f>
        <v>Greater than Solubility</v>
      </c>
      <c r="U48" s="356">
        <f>IF(R48=0,0,IF(AND([1]Toxicity!$AZ44&gt;0,R48&gt;[1]Toxicity!$AZ44,[1]Toxicity!$AZ44&lt;[1]Toxicity!$CA44),0,MAX(S48,[1]Toxicity!AY44,[1]Toxicity!AN44)))</f>
        <v>0</v>
      </c>
      <c r="V48" s="354"/>
      <c r="W48" s="355" t="str">
        <f>IF(R48=0,"NA",IF(U48=0,"NA, &gt; Solubility",IF(U48=S48,T48,IF(U48=(VLOOKUP(A48,[1]!TOX,40,FALSE)),"Groundwater Background","Water PQL"))))</f>
        <v>NA, &gt; Solubility</v>
      </c>
    </row>
    <row r="49" spans="1:23" ht="20" x14ac:dyDescent="0.25">
      <c r="A49" s="342" t="s">
        <v>200</v>
      </c>
      <c r="B49" s="356">
        <f>(VLOOKUP(A49,[1]!TOX,8,FALSE)*'[1]Target Risk'!$D$8*'GW-2 Exp'!$G$18*'GW-2 Exp'!$E$18)</f>
        <v>0.36000000000000004</v>
      </c>
      <c r="C49" s="414">
        <f>IF(VLOOKUP(A49,[1]!TOX,15,FALSE)=0,0,'[1]Target Risk'!$D$12/(VLOOKUP(A49,[1]!TOX,15,FALSE))*'GW-2 Exp'!$G$26)</f>
        <v>2.4054982817869417E-2</v>
      </c>
      <c r="D49" s="356">
        <f>IF(VLOOKUP(A49,[1]!TOX,15,FALSE)=0,0,IF(VLOOKUP(A49,[1]!TOX,36,FALSE)="M",'[1]Target Risk'!$D$12/((VLOOKUP(A49,[1]!TOX,15,FALSE))*(1*('GW-2 Exp'!$H$34))),0))</f>
        <v>0</v>
      </c>
      <c r="E49" s="415">
        <f>IF(VLOOKUP(A49,[1]!TOX,15,FALSE)=0,0,IF(VLOOKUP(A49,[1]!TOX,36,FALSE)="M",'[1]Target Risk'!$D$12/((VLOOKUP(A49,[1]!TOX,15,FALSE))*(1*('GW-2 Exp'!$H$34))),'[1]Target Risk'!$D$12/(VLOOKUP(A49,[1]!TOX,15,FALSE))*'GW-2 Exp'!$G$26))</f>
        <v>2.4054982817869417E-2</v>
      </c>
      <c r="F49" s="414">
        <f t="shared" si="0"/>
        <v>2.4054982817869417E-2</v>
      </c>
      <c r="G49" s="356" t="str">
        <f t="shared" si="1"/>
        <v>Cancer</v>
      </c>
      <c r="H49" s="437">
        <f>0.5*(VLOOKUP(A49,[1]!TOX,46,FALSE))</f>
        <v>0</v>
      </c>
      <c r="I49" s="356">
        <f t="shared" si="2"/>
        <v>2.4054982817869417E-2</v>
      </c>
      <c r="J49" s="356" t="str">
        <f t="shared" si="3"/>
        <v>Cancer</v>
      </c>
      <c r="K49" s="429">
        <f>(VLOOKUP(A49,[1]!TOX,41,FALSE))</f>
        <v>0</v>
      </c>
      <c r="L49" s="414">
        <f t="shared" si="4"/>
        <v>2.4054982817869417E-2</v>
      </c>
      <c r="M49" s="435" t="str">
        <f t="shared" si="5"/>
        <v>Cancer</v>
      </c>
      <c r="N49" s="425">
        <f>IF(O49=0,0,(VLOOKUP(A49,[2]!CCalcs,12,FALSE)))</f>
        <v>8.3441914396735473E-4</v>
      </c>
      <c r="O49" s="425">
        <f>(VLOOKUP(A49,[2]!CCalcs,4,FALSE))</f>
        <v>8.9018831432941057E-5</v>
      </c>
      <c r="P49" s="437">
        <v>1000</v>
      </c>
      <c r="Q49" s="437">
        <v>1</v>
      </c>
      <c r="R49" s="425">
        <f t="shared" si="6"/>
        <v>323.84627247562258</v>
      </c>
      <c r="S49" s="414">
        <f>IF(R49=0,0,IF(VLOOKUP(A49,[1]!TOX,52,FALSE)=0,MIN(VLOOKUP(A49,[1]!TOX,79,FALSE),R49),MIN(VLOOKUP(A49,[1]!TOX,79,FALSE),R49,(VLOOKUP(A49,[1]!TOX,52,FALSE)))))</f>
        <v>5.5</v>
      </c>
      <c r="T49" s="435" t="str">
        <f>IF(R49=0,0,IF(R49=S49,M49,IF(S49=(VLOOKUP(A49,[1]!TOX,52,FALSE)),"Greater than Solubility","Ceiling Value")))</f>
        <v>Greater than Solubility</v>
      </c>
      <c r="U49" s="356">
        <f>IF(R49=0,0,IF(AND([1]Toxicity!$AZ45&gt;0,R49&gt;[1]Toxicity!$AZ45,[1]Toxicity!$AZ45&lt;[1]Toxicity!$CA45),0,MAX(S49,[1]Toxicity!AY45,[1]Toxicity!AN45)))</f>
        <v>0</v>
      </c>
      <c r="V49" s="354"/>
      <c r="W49" s="355" t="str">
        <f>IF(R49=0,"NA",IF(U49=0,"NA, &gt; Solubility",IF(U49=S49,T49,IF(U49=(VLOOKUP(A49,[1]!TOX,40,FALSE)),"Groundwater Background","Water PQL"))))</f>
        <v>NA, &gt; Solubility</v>
      </c>
    </row>
    <row r="50" spans="1:23" x14ac:dyDescent="0.25">
      <c r="A50" s="342" t="s">
        <v>201</v>
      </c>
      <c r="B50" s="356">
        <f>(VLOOKUP(A50,[1]!TOX,8,FALSE)*'[1]Target Risk'!$D$8*'GW-2 Exp'!$G$18*'GW-2 Exp'!$E$18)</f>
        <v>160.00000000000003</v>
      </c>
      <c r="C50" s="414">
        <f>IF(VLOOKUP(A50,[1]!TOX,15,FALSE)=0,0,'[1]Target Risk'!$D$12/(VLOOKUP(A50,[1]!TOX,15,FALSE))*'GW-2 Exp'!$G$26)</f>
        <v>0</v>
      </c>
      <c r="D50" s="356">
        <f>IF(VLOOKUP(A50,[1]!TOX,15,FALSE)=0,0,IF(VLOOKUP(A50,[1]!TOX,36,FALSE)="M",'[1]Target Risk'!$D$12/((VLOOKUP(A50,[1]!TOX,15,FALSE))*(1*('GW-2 Exp'!$H$34))),0))</f>
        <v>0</v>
      </c>
      <c r="E50" s="415">
        <f>IF(VLOOKUP(A50,[1]!TOX,15,FALSE)=0,0,IF(VLOOKUP(A50,[1]!TOX,36,FALSE)="M",'[1]Target Risk'!$D$12/((VLOOKUP(A50,[1]!TOX,15,FALSE))*(1*('GW-2 Exp'!$H$34))),'[1]Target Risk'!$D$12/(VLOOKUP(A50,[1]!TOX,15,FALSE))*'GW-2 Exp'!$G$26))</f>
        <v>0</v>
      </c>
      <c r="F50" s="414">
        <f t="shared" si="0"/>
        <v>160.00000000000003</v>
      </c>
      <c r="G50" s="356" t="str">
        <f t="shared" si="1"/>
        <v>Noncancer</v>
      </c>
      <c r="H50" s="437">
        <f>0.5*(VLOOKUP(A50,[1]!TOX,46,FALSE))</f>
        <v>62500</v>
      </c>
      <c r="I50" s="356">
        <f t="shared" si="2"/>
        <v>160.00000000000003</v>
      </c>
      <c r="J50" s="356" t="str">
        <f t="shared" si="3"/>
        <v>Noncancer</v>
      </c>
      <c r="K50" s="429">
        <f>(VLOOKUP(A50,[1]!TOX,41,FALSE))</f>
        <v>0</v>
      </c>
      <c r="L50" s="414">
        <f t="shared" si="4"/>
        <v>160.00000000000003</v>
      </c>
      <c r="M50" s="435" t="str">
        <f t="shared" si="5"/>
        <v>Noncancer</v>
      </c>
      <c r="N50" s="425">
        <f>IF(O50=0,0,(VLOOKUP(A50,[2]!CCalcs,12,FALSE)))</f>
        <v>7.364018194556788E-4</v>
      </c>
      <c r="O50" s="425">
        <f>(VLOOKUP(A50,[2]!CCalcs,4,FALSE))</f>
        <v>0.12424792826318638</v>
      </c>
      <c r="P50" s="437">
        <v>1000</v>
      </c>
      <c r="Q50" s="437">
        <v>1</v>
      </c>
      <c r="R50" s="425">
        <f t="shared" si="6"/>
        <v>1748.702672853801</v>
      </c>
      <c r="S50" s="414">
        <f>IF(R50=0,0,IF(VLOOKUP(A50,[1]!TOX,52,FALSE)=0,MIN(VLOOKUP(A50,[1]!TOX,79,FALSE),R50),MIN(VLOOKUP(A50,[1]!TOX,79,FALSE),R50,(VLOOKUP(A50,[1]!TOX,52,FALSE)))))</f>
        <v>1748.702672853801</v>
      </c>
      <c r="T50" s="435" t="str">
        <f>IF(R50=0,0,IF(R50=S50,M50,IF(S50=(VLOOKUP(A50,[1]!TOX,52,FALSE)),"Greater than Solubility","Ceiling Value")))</f>
        <v>Noncancer</v>
      </c>
      <c r="U50" s="356">
        <f>IF(R50=0,0,IF(AND([1]Toxicity!$AZ46&gt;0,R50&gt;[1]Toxicity!$AZ46,[1]Toxicity!$AZ46&lt;[1]Toxicity!$CA46),0,MAX(S50,[1]Toxicity!AY46,[1]Toxicity!AN46)))</f>
        <v>1748.702672853801</v>
      </c>
      <c r="V50" s="354">
        <f t="shared" ref="V50:V65" si="8">ROUND(U50,-INT(LOG10(ABS(U50))))</f>
        <v>2000</v>
      </c>
      <c r="W50" s="355" t="str">
        <f>IF(R50=0,"NA",IF(U50=0,"NA, &gt; Solubility",IF(U50=S50,T50,IF(U50=(VLOOKUP(A50,[1]!TOX,40,FALSE)),"Groundwater Background","Water PQL"))))</f>
        <v>Noncancer</v>
      </c>
    </row>
    <row r="51" spans="1:23" x14ac:dyDescent="0.25">
      <c r="A51" s="342" t="s">
        <v>202</v>
      </c>
      <c r="B51" s="356">
        <f>(VLOOKUP(A51,[1]!TOX,8,FALSE)*'[1]Target Risk'!$D$8*'GW-2 Exp'!$G$18*'GW-2 Exp'!$E$18)</f>
        <v>1.4000000000000001</v>
      </c>
      <c r="C51" s="414">
        <f>IF(VLOOKUP(A51,[1]!TOX,15,FALSE)=0,0,'[1]Target Risk'!$D$12/(VLOOKUP(A51,[1]!TOX,15,FALSE))*'GW-2 Exp'!$G$26)</f>
        <v>8.9743589743589758E-2</v>
      </c>
      <c r="D51" s="356">
        <f>IF(VLOOKUP(A51,[1]!TOX,15,FALSE)=0,0,IF(VLOOKUP(A51,[1]!TOX,36,FALSE)="M",'[1]Target Risk'!$D$12/((VLOOKUP(A51,[1]!TOX,15,FALSE))*(1*('GW-2 Exp'!$H$34))),0))</f>
        <v>0</v>
      </c>
      <c r="E51" s="415">
        <f>IF(VLOOKUP(A51,[1]!TOX,15,FALSE)=0,0,IF(VLOOKUP(A51,[1]!TOX,36,FALSE)="M",'[1]Target Risk'!$D$12/((VLOOKUP(A51,[1]!TOX,15,FALSE))*(1*('GW-2 Exp'!$H$34))),'[1]Target Risk'!$D$12/(VLOOKUP(A51,[1]!TOX,15,FALSE))*'GW-2 Exp'!$G$26))</f>
        <v>8.9743589743589758E-2</v>
      </c>
      <c r="F51" s="414">
        <f t="shared" si="0"/>
        <v>8.9743589743589758E-2</v>
      </c>
      <c r="G51" s="356" t="str">
        <f t="shared" si="1"/>
        <v>Cancer</v>
      </c>
      <c r="H51" s="437">
        <f>0.5*(VLOOKUP(A51,[1]!TOX,46,FALSE))</f>
        <v>1212</v>
      </c>
      <c r="I51" s="356">
        <f t="shared" si="2"/>
        <v>8.9743589743589758E-2</v>
      </c>
      <c r="J51" s="356" t="str">
        <f t="shared" si="3"/>
        <v>Cancer</v>
      </c>
      <c r="K51" s="429">
        <f>(VLOOKUP(A51,[1]!TOX,41,FALSE))</f>
        <v>0</v>
      </c>
      <c r="L51" s="414">
        <f t="shared" si="4"/>
        <v>8.9743589743589758E-2</v>
      </c>
      <c r="M51" s="435" t="str">
        <f t="shared" si="5"/>
        <v>Cancer</v>
      </c>
      <c r="N51" s="425">
        <f>IF(O51=0,0,(VLOOKUP(A51,[2]!CCalcs,12,FALSE)))</f>
        <v>8.2556196420692984E-4</v>
      </c>
      <c r="O51" s="425">
        <f>(VLOOKUP(A51,[2]!CCalcs,4,FALSE))</f>
        <v>2.3702771721406512E-2</v>
      </c>
      <c r="P51" s="437">
        <v>1000</v>
      </c>
      <c r="Q51" s="437">
        <v>1</v>
      </c>
      <c r="R51" s="425">
        <f t="shared" si="6"/>
        <v>4.5862172950595212</v>
      </c>
      <c r="S51" s="414">
        <f>IF(R51=0,0,IF(VLOOKUP(A51,[1]!TOX,52,FALSE)=0,MIN(VLOOKUP(A51,[1]!TOX,79,FALSE),R51),MIN(VLOOKUP(A51,[1]!TOX,79,FALSE),R51,(VLOOKUP(A51,[1]!TOX,52,FALSE)))))</f>
        <v>4.5862172950595212</v>
      </c>
      <c r="T51" s="435" t="str">
        <f>IF(R51=0,0,IF(R51=S51,M51,IF(S51=(VLOOKUP(A51,[1]!TOX,52,FALSE)),"Greater than Solubility","Ceiling Value")))</f>
        <v>Cancer</v>
      </c>
      <c r="U51" s="356">
        <f>IF(R51=0,0,IF(AND([1]Toxicity!$AZ47&gt;0,R51&gt;[1]Toxicity!$AZ47,[1]Toxicity!$AZ47&lt;[1]Toxicity!$CA47),0,MAX(S51,[1]Toxicity!AY47,[1]Toxicity!AN47)))</f>
        <v>4.5862172950595212</v>
      </c>
      <c r="V51" s="354">
        <f t="shared" si="8"/>
        <v>5</v>
      </c>
      <c r="W51" s="355" t="str">
        <f>IF(R51=0,"NA",IF(U51=0,"NA, &gt; Solubility",IF(U51=S51,T51,IF(U51=(VLOOKUP(A51,[1]!TOX,40,FALSE)),"Groundwater Background","Water PQL"))))</f>
        <v>Cancer</v>
      </c>
    </row>
    <row r="52" spans="1:23" x14ac:dyDescent="0.25">
      <c r="A52" s="342" t="s">
        <v>203</v>
      </c>
      <c r="B52" s="356">
        <f>(VLOOKUP(A52,[1]!TOX,8,FALSE)*'[1]Target Risk'!$D$8*'GW-2 Exp'!$G$18*'GW-2 Exp'!$E$18)</f>
        <v>40.000000000000007</v>
      </c>
      <c r="C52" s="414">
        <f>IF(VLOOKUP(A52,[1]!TOX,15,FALSE)=0,0,'[1]Target Risk'!$D$12/(VLOOKUP(A52,[1]!TOX,15,FALSE))*'GW-2 Exp'!$G$26)</f>
        <v>0</v>
      </c>
      <c r="D52" s="356">
        <f>IF(VLOOKUP(A52,[1]!TOX,15,FALSE)=0,0,IF(VLOOKUP(A52,[1]!TOX,36,FALSE)="M",'[1]Target Risk'!$D$12/((VLOOKUP(A52,[1]!TOX,15,FALSE))*(1*('GW-2 Exp'!$H$34))),0))</f>
        <v>0</v>
      </c>
      <c r="E52" s="415">
        <f>IF(VLOOKUP(A52,[1]!TOX,15,FALSE)=0,0,IF(VLOOKUP(A52,[1]!TOX,36,FALSE)="M",'[1]Target Risk'!$D$12/((VLOOKUP(A52,[1]!TOX,15,FALSE))*(1*('GW-2 Exp'!$H$34))),'[1]Target Risk'!$D$12/(VLOOKUP(A52,[1]!TOX,15,FALSE))*'GW-2 Exp'!$G$26))</f>
        <v>0</v>
      </c>
      <c r="F52" s="414">
        <f t="shared" si="0"/>
        <v>40.000000000000007</v>
      </c>
      <c r="G52" s="356" t="str">
        <f t="shared" si="1"/>
        <v>Noncancer</v>
      </c>
      <c r="H52" s="437">
        <f>0.5*(VLOOKUP(A52,[1]!TOX,46,FALSE))</f>
        <v>62500</v>
      </c>
      <c r="I52" s="356">
        <f t="shared" si="2"/>
        <v>40.000000000000007</v>
      </c>
      <c r="J52" s="356" t="str">
        <f t="shared" si="3"/>
        <v>Noncancer</v>
      </c>
      <c r="K52" s="429">
        <f>(VLOOKUP(A52,[1]!TOX,41,FALSE))</f>
        <v>0</v>
      </c>
      <c r="L52" s="414">
        <f t="shared" si="4"/>
        <v>40.000000000000007</v>
      </c>
      <c r="M52" s="435" t="str">
        <f t="shared" si="5"/>
        <v>Noncancer</v>
      </c>
      <c r="N52" s="425">
        <f>IF(O52=0,0,(VLOOKUP(A52,[2]!CCalcs,12,FALSE)))</f>
        <v>7.8662013615010077E-4</v>
      </c>
      <c r="O52" s="425">
        <f>(VLOOKUP(A52,[2]!CCalcs,4,FALSE))</f>
        <v>0.63426894194224459</v>
      </c>
      <c r="P52" s="437">
        <v>1000</v>
      </c>
      <c r="Q52" s="437">
        <v>1</v>
      </c>
      <c r="R52" s="425">
        <f t="shared" si="6"/>
        <v>80.17177259797154</v>
      </c>
      <c r="S52" s="414">
        <f>IF(R52=0,0,IF(VLOOKUP(A52,[1]!TOX,52,FALSE)=0,MIN(VLOOKUP(A52,[1]!TOX,79,FALSE),R52),MIN(VLOOKUP(A52,[1]!TOX,79,FALSE),R52,(VLOOKUP(A52,[1]!TOX,52,FALSE)))))</f>
        <v>80.17177259797154</v>
      </c>
      <c r="T52" s="435" t="str">
        <f>IF(R52=0,0,IF(R52=S52,M52,IF(S52=(VLOOKUP(A52,[1]!TOX,52,FALSE)),"Greater than Solubility","Ceiling Value")))</f>
        <v>Noncancer</v>
      </c>
      <c r="U52" s="356">
        <f>IF(R52=0,0,IF(AND([1]Toxicity!$AZ48&gt;0,R52&gt;[1]Toxicity!$AZ48,[1]Toxicity!$AZ48&lt;[1]Toxicity!$CA48),0,MAX(S52,[1]Toxicity!AY48,[1]Toxicity!AN48)))</f>
        <v>80.17177259797154</v>
      </c>
      <c r="V52" s="354">
        <f t="shared" si="8"/>
        <v>80</v>
      </c>
      <c r="W52" s="355" t="str">
        <f>IF(R52=0,"NA",IF(U52=0,"NA, &gt; Solubility",IF(U52=S52,T52,IF(U52=(VLOOKUP(A52,[1]!TOX,40,FALSE)),"Groundwater Background","Water PQL"))))</f>
        <v>Noncancer</v>
      </c>
    </row>
    <row r="53" spans="1:23" x14ac:dyDescent="0.25">
      <c r="A53" s="342" t="s">
        <v>204</v>
      </c>
      <c r="B53" s="356">
        <f>(VLOOKUP(A53,[1]!TOX,8,FALSE)*'[1]Target Risk'!$D$8*'GW-2 Exp'!$G$18*'GW-2 Exp'!$E$18)</f>
        <v>1.4000000000000001</v>
      </c>
      <c r="C53" s="414">
        <f>IF(VLOOKUP(A53,[1]!TOX,15,FALSE)=0,0,'[1]Target Risk'!$D$12/(VLOOKUP(A53,[1]!TOX,15,FALSE))*'GW-2 Exp'!$G$26)</f>
        <v>0</v>
      </c>
      <c r="D53" s="356">
        <f>IF(VLOOKUP(A53,[1]!TOX,15,FALSE)=0,0,IF(VLOOKUP(A53,[1]!TOX,36,FALSE)="M",'[1]Target Risk'!$D$12/((VLOOKUP(A53,[1]!TOX,15,FALSE))*(1*('GW-2 Exp'!$H$34))),0))</f>
        <v>0</v>
      </c>
      <c r="E53" s="415">
        <f>IF(VLOOKUP(A53,[1]!TOX,15,FALSE)=0,0,IF(VLOOKUP(A53,[1]!TOX,36,FALSE)="M",'[1]Target Risk'!$D$12/((VLOOKUP(A53,[1]!TOX,15,FALSE))*(1*('GW-2 Exp'!$H$34))),'[1]Target Risk'!$D$12/(VLOOKUP(A53,[1]!TOX,15,FALSE))*'GW-2 Exp'!$G$26))</f>
        <v>0</v>
      </c>
      <c r="F53" s="414">
        <f t="shared" si="0"/>
        <v>1.4000000000000001</v>
      </c>
      <c r="G53" s="356" t="str">
        <f t="shared" si="1"/>
        <v>Noncancer</v>
      </c>
      <c r="H53" s="437">
        <f>0.5*(VLOOKUP(A53,[1]!TOX,46,FALSE))</f>
        <v>0</v>
      </c>
      <c r="I53" s="356">
        <f t="shared" si="2"/>
        <v>1.4000000000000001</v>
      </c>
      <c r="J53" s="356" t="str">
        <f t="shared" si="3"/>
        <v>Noncancer</v>
      </c>
      <c r="K53" s="429">
        <f>(VLOOKUP(A53,[1]!TOX,41,FALSE))</f>
        <v>0</v>
      </c>
      <c r="L53" s="414">
        <f t="shared" si="4"/>
        <v>1.4000000000000001</v>
      </c>
      <c r="M53" s="435" t="str">
        <f t="shared" si="5"/>
        <v>Noncancer</v>
      </c>
      <c r="N53" s="425">
        <f>IF(O53=0,0,(VLOOKUP(A53,[2]!CCalcs,12,FALSE)))</f>
        <v>7.3470569486148421E-4</v>
      </c>
      <c r="O53" s="425">
        <f>(VLOOKUP(A53,[2]!CCalcs,4,FALSE))</f>
        <v>8.7938242067465033E-2</v>
      </c>
      <c r="P53" s="437">
        <v>1000</v>
      </c>
      <c r="Q53" s="437">
        <v>1</v>
      </c>
      <c r="R53" s="425">
        <f t="shared" si="6"/>
        <v>21.668899229864838</v>
      </c>
      <c r="S53" s="414">
        <f>IF(R53=0,0,IF(VLOOKUP(A53,[1]!TOX,52,FALSE)=0,MIN(VLOOKUP(A53,[1]!TOX,79,FALSE),R53),MIN(VLOOKUP(A53,[1]!TOX,79,FALSE),R53,(VLOOKUP(A53,[1]!TOX,52,FALSE)))))</f>
        <v>21.668899229864838</v>
      </c>
      <c r="T53" s="435" t="str">
        <f>IF(R53=0,0,IF(R53=S53,M53,IF(S53=(VLOOKUP(A53,[1]!TOX,52,FALSE)),"Greater than Solubility","Ceiling Value")))</f>
        <v>Noncancer</v>
      </c>
      <c r="U53" s="356">
        <f>IF(R53=0,0,IF(AND([1]Toxicity!$AZ49&gt;0,R53&gt;[1]Toxicity!$AZ49,[1]Toxicity!$AZ49&lt;[1]Toxicity!$CA49),0,MAX(S53,[1]Toxicity!AY49,[1]Toxicity!AN49)))</f>
        <v>21.668899229864838</v>
      </c>
      <c r="V53" s="354">
        <f t="shared" si="8"/>
        <v>20</v>
      </c>
      <c r="W53" s="355" t="str">
        <f>IF(R53=0,"NA",IF(U53=0,"NA, &gt; Solubility",IF(U53=S53,T53,IF(U53=(VLOOKUP(A53,[1]!TOX,40,FALSE)),"Groundwater Background","Water PQL"))))</f>
        <v>Noncancer</v>
      </c>
    </row>
    <row r="54" spans="1:23" x14ac:dyDescent="0.25">
      <c r="A54" s="342" t="s">
        <v>205</v>
      </c>
      <c r="B54" s="356">
        <f>(VLOOKUP(A54,[1]!TOX,8,FALSE)*'[1]Target Risk'!$D$8*'GW-2 Exp'!$G$18*'GW-2 Exp'!$E$18)</f>
        <v>14.000000000000002</v>
      </c>
      <c r="C54" s="414">
        <f>IF(VLOOKUP(A54,[1]!TOX,15,FALSE)=0,0,'[1]Target Risk'!$D$12/(VLOOKUP(A54,[1]!TOX,15,FALSE))*'GW-2 Exp'!$G$26)</f>
        <v>0</v>
      </c>
      <c r="D54" s="356">
        <f>IF(VLOOKUP(A54,[1]!TOX,15,FALSE)=0,0,IF(VLOOKUP(A54,[1]!TOX,36,FALSE)="M",'[1]Target Risk'!$D$12/((VLOOKUP(A54,[1]!TOX,15,FALSE))*(1*('GW-2 Exp'!$H$34))),0))</f>
        <v>0</v>
      </c>
      <c r="E54" s="415">
        <f>IF(VLOOKUP(A54,[1]!TOX,15,FALSE)=0,0,IF(VLOOKUP(A54,[1]!TOX,36,FALSE)="M",'[1]Target Risk'!$D$12/((VLOOKUP(A54,[1]!TOX,15,FALSE))*(1*('GW-2 Exp'!$H$34))),'[1]Target Risk'!$D$12/(VLOOKUP(A54,[1]!TOX,15,FALSE))*'GW-2 Exp'!$G$26))</f>
        <v>0</v>
      </c>
      <c r="F54" s="414">
        <f t="shared" si="0"/>
        <v>14.000000000000002</v>
      </c>
      <c r="G54" s="356" t="str">
        <f t="shared" si="1"/>
        <v>Noncancer</v>
      </c>
      <c r="H54" s="437">
        <f>0.5*(VLOOKUP(A54,[1]!TOX,46,FALSE))</f>
        <v>33660</v>
      </c>
      <c r="I54" s="356">
        <f t="shared" si="2"/>
        <v>14.000000000000002</v>
      </c>
      <c r="J54" s="356" t="str">
        <f t="shared" si="3"/>
        <v>Noncancer</v>
      </c>
      <c r="K54" s="429">
        <f>(VLOOKUP(A54,[1]!TOX,41,FALSE))</f>
        <v>0</v>
      </c>
      <c r="L54" s="414">
        <f t="shared" si="4"/>
        <v>14.000000000000002</v>
      </c>
      <c r="M54" s="435" t="str">
        <f t="shared" si="5"/>
        <v>Noncancer</v>
      </c>
      <c r="N54" s="425">
        <f>IF(O54=0,0,(VLOOKUP(A54,[2]!CCalcs,12,FALSE)))</f>
        <v>7.2289993527140854E-4</v>
      </c>
      <c r="O54" s="425">
        <f>(VLOOKUP(A54,[2]!CCalcs,4,FALSE))</f>
        <v>0.21327500431610596</v>
      </c>
      <c r="P54" s="437">
        <v>1000</v>
      </c>
      <c r="Q54" s="437">
        <v>1</v>
      </c>
      <c r="R54" s="425">
        <f t="shared" si="6"/>
        <v>90.805026688588498</v>
      </c>
      <c r="S54" s="414">
        <f>IF(R54=0,0,IF(VLOOKUP(A54,[1]!TOX,52,FALSE)=0,MIN(VLOOKUP(A54,[1]!TOX,79,FALSE),R54),MIN(VLOOKUP(A54,[1]!TOX,79,FALSE),R54,(VLOOKUP(A54,[1]!TOX,52,FALSE)))))</f>
        <v>90.805026688588498</v>
      </c>
      <c r="T54" s="435" t="str">
        <f>IF(R54=0,0,IF(R54=S54,M54,IF(S54=(VLOOKUP(A54,[1]!TOX,52,FALSE)),"Greater than Solubility","Ceiling Value")))</f>
        <v>Noncancer</v>
      </c>
      <c r="U54" s="356">
        <f>IF(R54=0,0,IF(AND([1]Toxicity!$AZ50&gt;0,R54&gt;[1]Toxicity!$AZ50,[1]Toxicity!$AZ50&lt;[1]Toxicity!$CA50),0,MAX(S54,[1]Toxicity!AY50,[1]Toxicity!AN50)))</f>
        <v>90.805026688588498</v>
      </c>
      <c r="V54" s="354">
        <f t="shared" si="8"/>
        <v>90</v>
      </c>
      <c r="W54" s="355" t="str">
        <f>IF(R54=0,"NA",IF(U54=0,"NA, &gt; Solubility",IF(U54=S54,T54,IF(U54=(VLOOKUP(A54,[1]!TOX,40,FALSE)),"Groundwater Background","Water PQL"))))</f>
        <v>Noncancer</v>
      </c>
    </row>
    <row r="55" spans="1:23" x14ac:dyDescent="0.25">
      <c r="A55" s="342" t="s">
        <v>206</v>
      </c>
      <c r="B55" s="356">
        <f>(VLOOKUP(A55,[1]!TOX,8,FALSE)*'[1]Target Risk'!$D$8*'GW-2 Exp'!$G$18*'GW-2 Exp'!$E$18)</f>
        <v>120</v>
      </c>
      <c r="C55" s="759">
        <f>IF(VLOOKUP(A55,[1]!TOX,15,FALSE)=0,0,'[1]Target Risk'!$D$12/(VLOOKUP(A55,[1]!TOX,15,FALSE))*'GW-2 Exp'!$G$26)</f>
        <v>233.33333333333334</v>
      </c>
      <c r="D55" s="356">
        <f>IF(VLOOKUP(A55,[1]!TOX,15,FALSE)=0,0,IF(VLOOKUP(A55,[1]!TOX,36,FALSE)="M",'[1]Target Risk'!$D$12/((VLOOKUP(A55,[1]!TOX,15,FALSE))*(1*('GW-2 Exp'!$H$34))),0))</f>
        <v>92.10526315789474</v>
      </c>
      <c r="E55" s="415">
        <f>IF(VLOOKUP(A55,[1]!TOX,15,FALSE)=0,0,IF(VLOOKUP(A55,[1]!TOX,36,FALSE)="M",'[1]Target Risk'!$D$12/((VLOOKUP(A55,[1]!TOX,15,FALSE))*(1*('GW-2 Exp'!$H$34))),'[1]Target Risk'!$D$12/(VLOOKUP(A55,[1]!TOX,15,FALSE))*'GW-2 Exp'!$G$26))</f>
        <v>92.10526315789474</v>
      </c>
      <c r="F55" s="414">
        <f t="shared" si="0"/>
        <v>92.10526315789474</v>
      </c>
      <c r="G55" s="356" t="str">
        <f t="shared" si="1"/>
        <v>Cancer</v>
      </c>
      <c r="H55" s="437">
        <f>0.5*(VLOOKUP(A55,[1]!TOX,46,FALSE))</f>
        <v>270000</v>
      </c>
      <c r="I55" s="356">
        <f t="shared" si="2"/>
        <v>92.10526315789474</v>
      </c>
      <c r="J55" s="356" t="str">
        <f t="shared" si="3"/>
        <v>Cancer</v>
      </c>
      <c r="K55" s="429">
        <f>(VLOOKUP(A55,[1]!TOX,41,FALSE))</f>
        <v>11</v>
      </c>
      <c r="L55" s="414">
        <f t="shared" si="4"/>
        <v>92.10526315789474</v>
      </c>
      <c r="M55" s="435" t="str">
        <f t="shared" si="5"/>
        <v>Cancer</v>
      </c>
      <c r="N55" s="425">
        <f>IF(O55=0,0,(VLOOKUP(A55,[2]!CCalcs,12,FALSE)))</f>
        <v>8.1659766487342873E-4</v>
      </c>
      <c r="O55" s="425">
        <f>(VLOOKUP(A55,[2]!CCalcs,4,FALSE))</f>
        <v>7.4577442912279163E-2</v>
      </c>
      <c r="P55" s="437">
        <v>1000</v>
      </c>
      <c r="Q55" s="437">
        <v>1</v>
      </c>
      <c r="R55" s="425">
        <f t="shared" si="6"/>
        <v>1512.4075117068969</v>
      </c>
      <c r="S55" s="414">
        <f>IF(R55=0,0,IF(VLOOKUP(A55,[1]!TOX,52,FALSE)=0,MIN(VLOOKUP(A55,[1]!TOX,79,FALSE),R55),MIN(VLOOKUP(A55,[1]!TOX,79,FALSE),R55,(VLOOKUP(A55,[1]!TOX,52,FALSE)))))</f>
        <v>1512.4075117068969</v>
      </c>
      <c r="T55" s="435" t="str">
        <f>IF(R55=0,0,IF(R55=S55,M55,IF(S55=(VLOOKUP(A55,[1]!TOX,52,FALSE)),"Greater than Solubility","Ceiling Value")))</f>
        <v>Cancer</v>
      </c>
      <c r="U55" s="356">
        <f>IF(R55=0,0,IF(AND([1]Toxicity!$AZ51&gt;0,R55&gt;[1]Toxicity!$AZ51,[1]Toxicity!$AZ51&lt;[1]Toxicity!$CA51),0,MAX(S55,[1]Toxicity!AY51,[1]Toxicity!AN51)))</f>
        <v>1512.4075117068969</v>
      </c>
      <c r="V55" s="354">
        <f t="shared" si="8"/>
        <v>2000</v>
      </c>
      <c r="W55" s="355" t="str">
        <f>IF(R55=0,"NA",IF(U55=0,"NA, &gt; Solubility",IF(U55=S55,T55,IF(U55=(VLOOKUP(A55,[1]!TOX,40,FALSE)),"Groundwater Background","Water PQL"))))</f>
        <v>Cancer</v>
      </c>
    </row>
    <row r="56" spans="1:23" x14ac:dyDescent="0.25">
      <c r="A56" s="342" t="s">
        <v>207</v>
      </c>
      <c r="B56" s="356">
        <f>(VLOOKUP(A56,[1]!TOX,8,FALSE)*'[1]Target Risk'!$D$8*'GW-2 Exp'!$G$18*'GW-2 Exp'!$E$18)</f>
        <v>2.2000000000000002</v>
      </c>
      <c r="C56" s="414">
        <f>IF(VLOOKUP(A56,[1]!TOX,15,FALSE)=0,0,'[1]Target Risk'!$D$12/(VLOOKUP(A56,[1]!TOX,15,FALSE))*'GW-2 Exp'!$G$26)</f>
        <v>0</v>
      </c>
      <c r="D56" s="356">
        <f>IF(VLOOKUP(A56,[1]!TOX,15,FALSE)=0,0,IF(VLOOKUP(A56,[1]!TOX,36,FALSE)="M",'[1]Target Risk'!$D$12/((VLOOKUP(A56,[1]!TOX,15,FALSE))*(1*('GW-2 Exp'!$H$34))),0))</f>
        <v>0</v>
      </c>
      <c r="E56" s="415">
        <f>IF(VLOOKUP(A56,[1]!TOX,15,FALSE)=0,0,IF(VLOOKUP(A56,[1]!TOX,36,FALSE)="M",'[1]Target Risk'!$D$12/((VLOOKUP(A56,[1]!TOX,15,FALSE))*(1*('GW-2 Exp'!$H$34))),'[1]Target Risk'!$D$12/(VLOOKUP(A56,[1]!TOX,15,FALSE))*'GW-2 Exp'!$G$26))</f>
        <v>0</v>
      </c>
      <c r="F56" s="414">
        <f t="shared" si="0"/>
        <v>2.2000000000000002</v>
      </c>
      <c r="G56" s="356" t="str">
        <f t="shared" si="1"/>
        <v>Noncancer</v>
      </c>
      <c r="H56" s="437">
        <f>0.5*(VLOOKUP(A56,[1]!TOX,46,FALSE))</f>
        <v>700.35</v>
      </c>
      <c r="I56" s="356">
        <f t="shared" si="2"/>
        <v>2.2000000000000002</v>
      </c>
      <c r="J56" s="356" t="str">
        <f t="shared" si="3"/>
        <v>Noncancer</v>
      </c>
      <c r="K56" s="429">
        <f>(VLOOKUP(A56,[1]!TOX,41,FALSE))</f>
        <v>0</v>
      </c>
      <c r="L56" s="414">
        <f t="shared" si="4"/>
        <v>2.2000000000000002</v>
      </c>
      <c r="M56" s="435" t="str">
        <f t="shared" si="5"/>
        <v>Noncancer</v>
      </c>
      <c r="N56" s="425">
        <f>IF(O56=0,0,(VLOOKUP(A56,[2]!CCalcs,12,FALSE)))</f>
        <v>1.0024331420827913E-3</v>
      </c>
      <c r="O56" s="425">
        <f>(VLOOKUP(A56,[2]!CCalcs,4,FALSE))</f>
        <v>6.7502669264070939E-5</v>
      </c>
      <c r="P56" s="437">
        <v>1000</v>
      </c>
      <c r="Q56" s="437">
        <v>1</v>
      </c>
      <c r="R56" s="425">
        <f t="shared" si="6"/>
        <v>32512.196986106035</v>
      </c>
      <c r="S56" s="414">
        <f>IF(R56=0,0,IF(VLOOKUP(A56,[1]!TOX,52,FALSE)=0,MIN(VLOOKUP(A56,[1]!TOX,79,FALSE),R56),MIN(VLOOKUP(A56,[1]!TOX,79,FALSE),R56,(VLOOKUP(A56,[1]!TOX,52,FALSE)))))</f>
        <v>32512.196986106035</v>
      </c>
      <c r="T56" s="435" t="str">
        <f>IF(R56=0,0,IF(R56=S56,M56,IF(S56=(VLOOKUP(A56,[1]!TOX,52,FALSE)),"Greater than Solubility","Ceiling Value")))</f>
        <v>Noncancer</v>
      </c>
      <c r="U56" s="356">
        <f>IF(R56=0,0,IF(AND([1]Toxicity!$AZ52&gt;0,R56&gt;[1]Toxicity!$AZ52,[1]Toxicity!$AZ52&lt;[1]Toxicity!$CA52),0,MAX(S56,[1]Toxicity!AY52,[1]Toxicity!AN52)))</f>
        <v>32512.196986106035</v>
      </c>
      <c r="V56" s="354">
        <f t="shared" si="8"/>
        <v>30000</v>
      </c>
      <c r="W56" s="355" t="str">
        <f>IF(R56=0,"NA",IF(U56=0,"NA, &gt; Solubility",IF(U56=S56,T56,IF(U56=(VLOOKUP(A56,[1]!TOX,40,FALSE)),"Groundwater Background","Water PQL"))))</f>
        <v>Noncancer</v>
      </c>
    </row>
    <row r="57" spans="1:23" x14ac:dyDescent="0.25">
      <c r="A57" s="342" t="s">
        <v>208</v>
      </c>
      <c r="B57" s="356">
        <f>(VLOOKUP(A57,[1]!TOX,8,FALSE)*'[1]Target Risk'!$D$8*'GW-2 Exp'!$G$18*'GW-2 Exp'!$E$18)</f>
        <v>0.8</v>
      </c>
      <c r="C57" s="414">
        <f>IF(VLOOKUP(A57,[1]!TOX,15,FALSE)=0,0,'[1]Target Risk'!$D$12/(VLOOKUP(A57,[1]!TOX,15,FALSE))*'GW-2 Exp'!$G$26)</f>
        <v>0.12280701754385966</v>
      </c>
      <c r="D57" s="356">
        <f>IF(VLOOKUP(A57,[1]!TOX,15,FALSE)=0,0,IF(VLOOKUP(A57,[1]!TOX,36,FALSE)="M",'[1]Target Risk'!$D$12/((VLOOKUP(A57,[1]!TOX,15,FALSE))*(1*('GW-2 Exp'!$H$34))),0))</f>
        <v>0</v>
      </c>
      <c r="E57" s="415">
        <f>IF(VLOOKUP(A57,[1]!TOX,15,FALSE)=0,0,IF(VLOOKUP(A57,[1]!TOX,36,FALSE)="M",'[1]Target Risk'!$D$12/((VLOOKUP(A57,[1]!TOX,15,FALSE))*(1*('GW-2 Exp'!$H$34))),'[1]Target Risk'!$D$12/(VLOOKUP(A57,[1]!TOX,15,FALSE))*'GW-2 Exp'!$G$26))</f>
        <v>0.12280701754385966</v>
      </c>
      <c r="F57" s="414">
        <f t="shared" si="0"/>
        <v>0.12280701754385966</v>
      </c>
      <c r="G57" s="356" t="str">
        <f t="shared" si="1"/>
        <v>Cancer</v>
      </c>
      <c r="H57" s="437">
        <f>0.5*(VLOOKUP(A57,[1]!TOX,46,FALSE))</f>
        <v>595.25</v>
      </c>
      <c r="I57" s="356">
        <f t="shared" si="2"/>
        <v>0.12280701754385966</v>
      </c>
      <c r="J57" s="356" t="str">
        <f t="shared" si="3"/>
        <v>Cancer</v>
      </c>
      <c r="K57" s="429">
        <f>(VLOOKUP(A57,[1]!TOX,41,FALSE))</f>
        <v>0</v>
      </c>
      <c r="L57" s="414">
        <f t="shared" si="4"/>
        <v>0.12280701754385966</v>
      </c>
      <c r="M57" s="435" t="str">
        <f t="shared" si="5"/>
        <v>Cancer</v>
      </c>
      <c r="N57" s="425">
        <f>IF(O57=0,0,(VLOOKUP(A57,[2]!CCalcs,12,FALSE)))</f>
        <v>7.512655774963914E-4</v>
      </c>
      <c r="O57" s="425">
        <f>(VLOOKUP(A57,[2]!CCalcs,4,FALSE))</f>
        <v>5.6093886241256372E-2</v>
      </c>
      <c r="P57" s="437">
        <v>1000</v>
      </c>
      <c r="Q57" s="437">
        <v>1</v>
      </c>
      <c r="R57" s="425">
        <f t="shared" si="6"/>
        <v>2.9141651801331334</v>
      </c>
      <c r="S57" s="414">
        <f>IF(R57=0,0,IF(VLOOKUP(A57,[1]!TOX,52,FALSE)=0,MIN(VLOOKUP(A57,[1]!TOX,79,FALSE),R57),MIN(VLOOKUP(A57,[1]!TOX,79,FALSE),R57,(VLOOKUP(A57,[1]!TOX,52,FALSE)))))</f>
        <v>2.9141651801331334</v>
      </c>
      <c r="T57" s="435" t="str">
        <f>IF(R57=0,0,IF(R57=S57,M57,IF(S57=(VLOOKUP(A57,[1]!TOX,52,FALSE)),"Greater than Solubility","Ceiling Value")))</f>
        <v>Cancer</v>
      </c>
      <c r="U57" s="356">
        <f>IF(R57=0,0,IF(AND([1]Toxicity!$AZ53&gt;0,R57&gt;[1]Toxicity!$AZ53,[1]Toxicity!$AZ53&lt;[1]Toxicity!$CA53),0,MAX(S57,[1]Toxicity!AY53,[1]Toxicity!AN53)))</f>
        <v>2.9141651801331334</v>
      </c>
      <c r="V57" s="354">
        <f t="shared" si="8"/>
        <v>3</v>
      </c>
      <c r="W57" s="355" t="str">
        <f>IF(R57=0,"NA",IF(U57=0,"NA, &gt; Solubility",IF(U57=S57,T57,IF(U57=(VLOOKUP(A57,[1]!TOX,40,FALSE)),"Groundwater Background","Water PQL"))))</f>
        <v>Cancer</v>
      </c>
    </row>
    <row r="58" spans="1:23" x14ac:dyDescent="0.25">
      <c r="A58" s="342" t="s">
        <v>209</v>
      </c>
      <c r="B58" s="356">
        <f>(VLOOKUP(A58,[1]!TOX,8,FALSE)*'[1]Target Risk'!$D$8*'GW-2 Exp'!$G$18*'GW-2 Exp'!$E$18)</f>
        <v>4</v>
      </c>
      <c r="C58" s="414">
        <f>IF(VLOOKUP(A58,[1]!TOX,15,FALSE)=0,0,'[1]Target Risk'!$D$12/(VLOOKUP(A58,[1]!TOX,15,FALSE))*'GW-2 Exp'!$G$26)</f>
        <v>0.58333333333333337</v>
      </c>
      <c r="D58" s="356">
        <f>IF(VLOOKUP(A58,[1]!TOX,15,FALSE)=0,0,IF(VLOOKUP(A58,[1]!TOX,36,FALSE)="M",'[1]Target Risk'!$D$12/((VLOOKUP(A58,[1]!TOX,15,FALSE))*(1*('GW-2 Exp'!$H$34))),0))</f>
        <v>0</v>
      </c>
      <c r="E58" s="415">
        <f>IF(VLOOKUP(A58,[1]!TOX,15,FALSE)=0,0,IF(VLOOKUP(A58,[1]!TOX,36,FALSE)="M",'[1]Target Risk'!$D$12/((VLOOKUP(A58,[1]!TOX,15,FALSE))*(1*('GW-2 Exp'!$H$34))),'[1]Target Risk'!$D$12/(VLOOKUP(A58,[1]!TOX,15,FALSE))*'GW-2 Exp'!$G$26))</f>
        <v>0.58333333333333337</v>
      </c>
      <c r="F58" s="414">
        <f t="shared" si="0"/>
        <v>0.58333333333333337</v>
      </c>
      <c r="G58" s="356" t="str">
        <f t="shared" si="1"/>
        <v>Cancer</v>
      </c>
      <c r="H58" s="437">
        <f>0.5*(VLOOKUP(A58,[1]!TOX,46,FALSE))</f>
        <v>2305</v>
      </c>
      <c r="I58" s="356">
        <f t="shared" si="2"/>
        <v>0.58333333333333337</v>
      </c>
      <c r="J58" s="356" t="str">
        <f t="shared" si="3"/>
        <v>Cancer</v>
      </c>
      <c r="K58" s="429">
        <f>(VLOOKUP(A58,[1]!TOX,41,FALSE))</f>
        <v>0</v>
      </c>
      <c r="L58" s="414">
        <f t="shared" si="4"/>
        <v>0.58333333333333337</v>
      </c>
      <c r="M58" s="435" t="str">
        <f t="shared" si="5"/>
        <v>Cancer</v>
      </c>
      <c r="N58" s="425">
        <f>IF(O58=0,0,(VLOOKUP(A58,[2]!CCalcs,12,FALSE)))</f>
        <v>6.901775657686208E-4</v>
      </c>
      <c r="O58" s="425">
        <f>(VLOOKUP(A58,[2]!CCalcs,4,FALSE))</f>
        <v>7.428740456895791E-2</v>
      </c>
      <c r="P58" s="437">
        <v>1000</v>
      </c>
      <c r="Q58" s="437">
        <v>1</v>
      </c>
      <c r="R58" s="425">
        <f t="shared" si="6"/>
        <v>11.377340876199545</v>
      </c>
      <c r="S58" s="414">
        <f>IF(R58=0,0,IF(VLOOKUP(A58,[1]!TOX,52,FALSE)=0,MIN(VLOOKUP(A58,[1]!TOX,79,FALSE),R58),MIN(VLOOKUP(A58,[1]!TOX,79,FALSE),R58,(VLOOKUP(A58,[1]!TOX,52,FALSE)))))</f>
        <v>11.377340876199545</v>
      </c>
      <c r="T58" s="435" t="str">
        <f>IF(R58=0,0,IF(R58=S58,M58,IF(S58=(VLOOKUP(A58,[1]!TOX,52,FALSE)),"Greater than Solubility","Ceiling Value")))</f>
        <v>Cancer</v>
      </c>
      <c r="U58" s="356">
        <f>IF(R58=0,0,IF(AND([1]Toxicity!$AZ54&gt;0,R58&gt;[1]Toxicity!$AZ54,[1]Toxicity!$AZ54&lt;[1]Toxicity!$CA54),0,MAX(S58,[1]Toxicity!AY54,[1]Toxicity!AN54)))</f>
        <v>11.377340876199545</v>
      </c>
      <c r="V58" s="354">
        <f t="shared" si="8"/>
        <v>10</v>
      </c>
      <c r="W58" s="355" t="str">
        <f>IF(R58=0,"NA",IF(U58=0,"NA, &gt; Solubility",IF(U58=S58,T58,IF(U58=(VLOOKUP(A58,[1]!TOX,40,FALSE)),"Groundwater Background","Water PQL"))))</f>
        <v>Cancer</v>
      </c>
    </row>
    <row r="59" spans="1:23" x14ac:dyDescent="0.25">
      <c r="A59" s="342" t="s">
        <v>210</v>
      </c>
      <c r="B59" s="356">
        <f>(VLOOKUP(A59,[1]!TOX,8,FALSE)*'[1]Target Risk'!$D$8*'GW-2 Exp'!$G$18*'GW-2 Exp'!$E$18)</f>
        <v>3.6000000000000004E-2</v>
      </c>
      <c r="C59" s="414">
        <f>IF(VLOOKUP(A59,[1]!TOX,15,FALSE)=0,0,'[1]Target Risk'!$D$12/(VLOOKUP(A59,[1]!TOX,15,FALSE))*'GW-2 Exp'!$G$26)</f>
        <v>5.0724637681159423E-4</v>
      </c>
      <c r="D59" s="356">
        <f>IF(VLOOKUP(A59,[1]!TOX,15,FALSE)=0,0,IF(VLOOKUP(A59,[1]!TOX,36,FALSE)="M",'[1]Target Risk'!$D$12/((VLOOKUP(A59,[1]!TOX,15,FALSE))*(1*('GW-2 Exp'!$H$34))),0))</f>
        <v>0</v>
      </c>
      <c r="E59" s="415">
        <f>IF(VLOOKUP(A59,[1]!TOX,15,FALSE)=0,0,IF(VLOOKUP(A59,[1]!TOX,36,FALSE)="M",'[1]Target Risk'!$D$12/((VLOOKUP(A59,[1]!TOX,15,FALSE))*(1*('GW-2 Exp'!$H$34))),'[1]Target Risk'!$D$12/(VLOOKUP(A59,[1]!TOX,15,FALSE))*'GW-2 Exp'!$G$26))</f>
        <v>5.0724637681159423E-4</v>
      </c>
      <c r="F59" s="414">
        <f t="shared" si="0"/>
        <v>5.0724637681159423E-4</v>
      </c>
      <c r="G59" s="356" t="str">
        <f t="shared" si="1"/>
        <v>Cancer</v>
      </c>
      <c r="H59" s="437">
        <f>0.5*(VLOOKUP(A59,[1]!TOX,46,FALSE))</f>
        <v>0</v>
      </c>
      <c r="I59" s="356">
        <f t="shared" si="2"/>
        <v>5.0724637681159423E-4</v>
      </c>
      <c r="J59" s="356" t="str">
        <f t="shared" si="3"/>
        <v>Cancer</v>
      </c>
      <c r="K59" s="429">
        <f>(VLOOKUP(A59,[1]!TOX,41,FALSE))</f>
        <v>0</v>
      </c>
      <c r="L59" s="414">
        <f t="shared" si="4"/>
        <v>5.0724637681159423E-4</v>
      </c>
      <c r="M59" s="435" t="str">
        <f t="shared" si="5"/>
        <v>Cancer</v>
      </c>
      <c r="N59" s="425">
        <f>IF(O59=0,0,(VLOOKUP(A59,[2]!CCalcs,12,FALSE)))</f>
        <v>8.293611911206083E-4</v>
      </c>
      <c r="O59" s="425">
        <f>(VLOOKUP(A59,[2]!CCalcs,4,FALSE))</f>
        <v>8.0514376368771566E-5</v>
      </c>
      <c r="P59" s="437">
        <v>1000</v>
      </c>
      <c r="Q59" s="437">
        <v>1</v>
      </c>
      <c r="R59" s="425">
        <f t="shared" si="6"/>
        <v>7.5962948048749857</v>
      </c>
      <c r="S59" s="414">
        <f>IF(R59=0,0,IF(VLOOKUP(A59,[1]!TOX,52,FALSE)=0,MIN(VLOOKUP(A59,[1]!TOX,79,FALSE),R59),MIN(VLOOKUP(A59,[1]!TOX,79,FALSE),R59,(VLOOKUP(A59,[1]!TOX,52,FALSE)))))</f>
        <v>7.5962948048749857</v>
      </c>
      <c r="T59" s="435" t="str">
        <f>IF(R59=0,0,IF(R59=S59,M59,IF(S59=(VLOOKUP(A59,[1]!TOX,52,FALSE)),"Greater than Solubility","Ceiling Value")))</f>
        <v>Cancer</v>
      </c>
      <c r="U59" s="356">
        <f>IF(R59=0,0,IF(AND([1]Toxicity!$AZ55&gt;0,R59&gt;[1]Toxicity!$AZ55,[1]Toxicity!$AZ55&lt;[1]Toxicity!$CA55),0,MAX(S59,[1]Toxicity!AY55,[1]Toxicity!AN55)))</f>
        <v>7.5962948048749857</v>
      </c>
      <c r="V59" s="354">
        <f t="shared" si="8"/>
        <v>8</v>
      </c>
      <c r="W59" s="355" t="str">
        <f>IF(R59=0,"NA",IF(U59=0,"NA, &gt; Solubility",IF(U59=S59,T59,IF(U59=(VLOOKUP(A59,[1]!TOX,40,FALSE)),"Groundwater Background","Water PQL"))))</f>
        <v>Cancer</v>
      </c>
    </row>
    <row r="60" spans="1:23" x14ac:dyDescent="0.25">
      <c r="A60" s="342" t="s">
        <v>211</v>
      </c>
      <c r="B60" s="356">
        <f>(VLOOKUP(A60,[1]!TOX,8,FALSE)*'[1]Target Risk'!$D$8*'GW-2 Exp'!$G$18*'GW-2 Exp'!$E$18)</f>
        <v>559.99999999999989</v>
      </c>
      <c r="C60" s="414">
        <f>IF(VLOOKUP(A60,[1]!TOX,15,FALSE)=0,0,'[1]Target Risk'!$D$12/(VLOOKUP(A60,[1]!TOX,15,FALSE))*'GW-2 Exp'!$G$26)</f>
        <v>0</v>
      </c>
      <c r="D60" s="356">
        <f>IF(VLOOKUP(A60,[1]!TOX,15,FALSE)=0,0,IF(VLOOKUP(A60,[1]!TOX,36,FALSE)="M",'[1]Target Risk'!$D$12/((VLOOKUP(A60,[1]!TOX,15,FALSE))*(1*('GW-2 Exp'!$H$34))),0))</f>
        <v>0</v>
      </c>
      <c r="E60" s="415">
        <f>IF(VLOOKUP(A60,[1]!TOX,15,FALSE)=0,0,IF(VLOOKUP(A60,[1]!TOX,36,FALSE)="M",'[1]Target Risk'!$D$12/((VLOOKUP(A60,[1]!TOX,15,FALSE))*(1*('GW-2 Exp'!$H$34))),'[1]Target Risk'!$D$12/(VLOOKUP(A60,[1]!TOX,15,FALSE))*'GW-2 Exp'!$G$26))</f>
        <v>0</v>
      </c>
      <c r="F60" s="414">
        <f t="shared" si="0"/>
        <v>559.99999999999989</v>
      </c>
      <c r="G60" s="356" t="str">
        <f t="shared" si="1"/>
        <v>Noncancer</v>
      </c>
      <c r="H60" s="437">
        <f>0.5*(VLOOKUP(A60,[1]!TOX,46,FALSE))</f>
        <v>0</v>
      </c>
      <c r="I60" s="356">
        <f t="shared" si="2"/>
        <v>559.99999999999989</v>
      </c>
      <c r="J60" s="356" t="str">
        <f t="shared" si="3"/>
        <v>Noncancer</v>
      </c>
      <c r="K60" s="429">
        <f>(VLOOKUP(A60,[1]!TOX,41,FALSE))</f>
        <v>0</v>
      </c>
      <c r="L60" s="414">
        <f t="shared" si="4"/>
        <v>559.99999999999989</v>
      </c>
      <c r="M60" s="435" t="str">
        <f t="shared" si="5"/>
        <v>Noncancer</v>
      </c>
      <c r="N60" s="425">
        <f>IF(O60=0,0,(VLOOKUP(A60,[2]!CCalcs,12,FALSE)))</f>
        <v>1.0605918247475019E-3</v>
      </c>
      <c r="O60" s="425">
        <f>(VLOOKUP(A60,[2]!CCalcs,4,FALSE))</f>
        <v>4.3981475217248698E-6</v>
      </c>
      <c r="P60" s="437">
        <v>1000</v>
      </c>
      <c r="Q60" s="437">
        <v>1</v>
      </c>
      <c r="R60" s="425">
        <f t="shared" si="6"/>
        <v>120052154.80020571</v>
      </c>
      <c r="S60" s="414">
        <f>IF(R60=0,0,IF(VLOOKUP(A60,[1]!TOX,52,FALSE)=0,MIN(VLOOKUP(A60,[1]!TOX,79,FALSE),R60),MIN(VLOOKUP(A60,[1]!TOX,79,FALSE),R60,(VLOOKUP(A60,[1]!TOX,52,FALSE)))))</f>
        <v>50000</v>
      </c>
      <c r="T60" s="435" t="str">
        <f>IF(R60=0,0,IF(R60=S60,M60,IF(S60=(VLOOKUP(A60,[1]!TOX,52,FALSE)),"Greater than Solubility","Ceiling Value")))</f>
        <v>Ceiling Value</v>
      </c>
      <c r="U60" s="356">
        <f>IF(R60=0,0,IF(AND([1]Toxicity!$AZ56&gt;0,R60&gt;[1]Toxicity!$AZ56,[1]Toxicity!$AZ56&lt;[1]Toxicity!$CA56),0,MAX(S60,[1]Toxicity!AY56,[1]Toxicity!AN56)))</f>
        <v>50000</v>
      </c>
      <c r="V60" s="354">
        <f t="shared" si="8"/>
        <v>50000</v>
      </c>
      <c r="W60" s="355" t="str">
        <f>IF(R60=0,"NA",IF(U60=0,"NA, &gt; Solubility",IF(U60=S60,T60,IF(U60=(VLOOKUP(A60,[1]!TOX,40,FALSE)),"Groundwater Background","Water PQL"))))</f>
        <v>Ceiling Value</v>
      </c>
    </row>
    <row r="61" spans="1:23" x14ac:dyDescent="0.25">
      <c r="A61" s="342" t="s">
        <v>212</v>
      </c>
      <c r="B61" s="356">
        <f>(VLOOKUP(A61,[1]!TOX,8,FALSE)*'[1]Target Risk'!$D$8*'GW-2 Exp'!$G$18*'GW-2 Exp'!$E$18)</f>
        <v>80.000000000000014</v>
      </c>
      <c r="C61" s="414">
        <f>IF(VLOOKUP(A61,[1]!TOX,15,FALSE)=0,0,'[1]Target Risk'!$D$12/(VLOOKUP(A61,[1]!TOX,15,FALSE))*'GW-2 Exp'!$G$26)</f>
        <v>0</v>
      </c>
      <c r="D61" s="356">
        <f>IF(VLOOKUP(A61,[1]!TOX,15,FALSE)=0,0,IF(VLOOKUP(A61,[1]!TOX,36,FALSE)="M",'[1]Target Risk'!$D$12/((VLOOKUP(A61,[1]!TOX,15,FALSE))*(1*('GW-2 Exp'!$H$34))),0))</f>
        <v>0</v>
      </c>
      <c r="E61" s="415">
        <f>IF(VLOOKUP(A61,[1]!TOX,15,FALSE)=0,0,IF(VLOOKUP(A61,[1]!TOX,36,FALSE)="M",'[1]Target Risk'!$D$12/((VLOOKUP(A61,[1]!TOX,15,FALSE))*(1*('GW-2 Exp'!$H$34))),'[1]Target Risk'!$D$12/(VLOOKUP(A61,[1]!TOX,15,FALSE))*'GW-2 Exp'!$G$26))</f>
        <v>0</v>
      </c>
      <c r="F61" s="414">
        <f t="shared" si="0"/>
        <v>80.000000000000014</v>
      </c>
      <c r="G61" s="356" t="str">
        <f t="shared" si="1"/>
        <v>Noncancer</v>
      </c>
      <c r="H61" s="437">
        <f>0.5*(VLOOKUP(A61,[1]!TOX,46,FALSE))</f>
        <v>0</v>
      </c>
      <c r="I61" s="356">
        <f t="shared" si="2"/>
        <v>80.000000000000014</v>
      </c>
      <c r="J61" s="356" t="str">
        <f t="shared" si="3"/>
        <v>Noncancer</v>
      </c>
      <c r="K61" s="429">
        <f>(VLOOKUP(A61,[1]!TOX,41,FALSE))</f>
        <v>0</v>
      </c>
      <c r="L61" s="414">
        <f t="shared" si="4"/>
        <v>80.000000000000014</v>
      </c>
      <c r="M61" s="435" t="str">
        <f t="shared" si="5"/>
        <v>Noncancer</v>
      </c>
      <c r="N61" s="425">
        <f>IF(O61=0,0,(VLOOKUP(A61,[2]!CCalcs,12,FALSE)))</f>
        <v>1.1078731378641568E-3</v>
      </c>
      <c r="O61" s="425">
        <f>(VLOOKUP(A61,[2]!CCalcs,4,FALSE))</f>
        <v>4.5918350339419542E-6</v>
      </c>
      <c r="P61" s="437">
        <v>1000</v>
      </c>
      <c r="Q61" s="437">
        <v>1</v>
      </c>
      <c r="R61" s="425">
        <f t="shared" si="6"/>
        <v>15725833.653444549</v>
      </c>
      <c r="S61" s="414">
        <f>IF(R61=0,0,IF(VLOOKUP(A61,[1]!TOX,52,FALSE)=0,MIN(VLOOKUP(A61,[1]!TOX,79,FALSE),R61),MIN(VLOOKUP(A61,[1]!TOX,79,FALSE),R61,(VLOOKUP(A61,[1]!TOX,52,FALSE)))))</f>
        <v>50000</v>
      </c>
      <c r="T61" s="435" t="str">
        <f>IF(R61=0,0,IF(R61=S61,M61,IF(S61=(VLOOKUP(A61,[1]!TOX,52,FALSE)),"Greater than Solubility","Ceiling Value")))</f>
        <v>Ceiling Value</v>
      </c>
      <c r="U61" s="356">
        <f>IF(R61=0,0,IF(AND([1]Toxicity!$AZ57&gt;0,R61&gt;[1]Toxicity!$AZ57,[1]Toxicity!$AZ57&lt;[1]Toxicity!$CA57),0,MAX(S61,[1]Toxicity!AY57,[1]Toxicity!AN57)))</f>
        <v>50000</v>
      </c>
      <c r="V61" s="354">
        <f t="shared" si="8"/>
        <v>50000</v>
      </c>
      <c r="W61" s="355" t="str">
        <f>IF(R61=0,"NA",IF(U61=0,"NA, &gt; Solubility",IF(U61=S61,T61,IF(U61=(VLOOKUP(A61,[1]!TOX,40,FALSE)),"Groundwater Background","Water PQL"))))</f>
        <v>Ceiling Value</v>
      </c>
    </row>
    <row r="62" spans="1:23" x14ac:dyDescent="0.25">
      <c r="A62" s="342" t="s">
        <v>213</v>
      </c>
      <c r="B62" s="356">
        <f>(VLOOKUP(A62,[1]!TOX,8,FALSE)*'[1]Target Risk'!$D$8*'GW-2 Exp'!$G$18*'GW-2 Exp'!$E$18)</f>
        <v>14.000000000000002</v>
      </c>
      <c r="C62" s="414">
        <f>IF(VLOOKUP(A62,[1]!TOX,15,FALSE)=0,0,'[1]Target Risk'!$D$12/(VLOOKUP(A62,[1]!TOX,15,FALSE))*'GW-2 Exp'!$G$26)</f>
        <v>0</v>
      </c>
      <c r="D62" s="356">
        <f>IF(VLOOKUP(A62,[1]!TOX,15,FALSE)=0,0,IF(VLOOKUP(A62,[1]!TOX,36,FALSE)="M",'[1]Target Risk'!$D$12/((VLOOKUP(A62,[1]!TOX,15,FALSE))*(1*('GW-2 Exp'!$H$34))),0))</f>
        <v>0</v>
      </c>
      <c r="E62" s="415">
        <f>IF(VLOOKUP(A62,[1]!TOX,15,FALSE)=0,0,IF(VLOOKUP(A62,[1]!TOX,36,FALSE)="M",'[1]Target Risk'!$D$12/((VLOOKUP(A62,[1]!TOX,15,FALSE))*(1*('GW-2 Exp'!$H$34))),'[1]Target Risk'!$D$12/(VLOOKUP(A62,[1]!TOX,15,FALSE))*'GW-2 Exp'!$G$26))</f>
        <v>0</v>
      </c>
      <c r="F62" s="414">
        <f t="shared" si="0"/>
        <v>14.000000000000002</v>
      </c>
      <c r="G62" s="356" t="str">
        <f t="shared" si="1"/>
        <v>Noncancer</v>
      </c>
      <c r="H62" s="437">
        <f>0.5*(VLOOKUP(A62,[1]!TOX,46,FALSE))</f>
        <v>0.5</v>
      </c>
      <c r="I62" s="356">
        <f t="shared" si="2"/>
        <v>0.5</v>
      </c>
      <c r="J62" s="356" t="str">
        <f t="shared" si="3"/>
        <v>50% Odor Threshold</v>
      </c>
      <c r="K62" s="429">
        <f>(VLOOKUP(A62,[1]!TOX,41,FALSE))</f>
        <v>0</v>
      </c>
      <c r="L62" s="414">
        <f t="shared" si="4"/>
        <v>0.5</v>
      </c>
      <c r="M62" s="435" t="str">
        <f t="shared" si="5"/>
        <v>50% Odor Threshold</v>
      </c>
      <c r="N62" s="425">
        <f>IF(O62=0,0,(VLOOKUP(A62,[2]!CCalcs,12,FALSE)))</f>
        <v>1.1025141846809912E-3</v>
      </c>
      <c r="O62" s="425">
        <f>(VLOOKUP(A62,[2]!CCalcs,4,FALSE))</f>
        <v>1.0263364539663846E-5</v>
      </c>
      <c r="P62" s="437">
        <v>1000</v>
      </c>
      <c r="Q62" s="437">
        <v>1</v>
      </c>
      <c r="R62" s="425">
        <f t="shared" si="6"/>
        <v>44187.157404902144</v>
      </c>
      <c r="S62" s="414">
        <f>IF(R62=0,0,IF(VLOOKUP(A62,[1]!TOX,52,FALSE)=0,MIN(VLOOKUP(A62,[1]!TOX,79,FALSE),R62),MIN(VLOOKUP(A62,[1]!TOX,79,FALSE),R62,(VLOOKUP(A62,[1]!TOX,52,FALSE)))))</f>
        <v>44187.157404902144</v>
      </c>
      <c r="T62" s="435" t="str">
        <f>IF(R62=0,0,IF(R62=S62,M62,IF(S62=(VLOOKUP(A62,[1]!TOX,52,FALSE)),"Greater than Solubility","Ceiling Value")))</f>
        <v>50% Odor Threshold</v>
      </c>
      <c r="U62" s="356">
        <f>IF(R62=0,0,IF(AND([1]Toxicity!$AZ58&gt;0,R62&gt;[1]Toxicity!$AZ58,[1]Toxicity!$AZ58&lt;[1]Toxicity!$CA58),0,MAX(S62,[1]Toxicity!AY58,[1]Toxicity!AN58)))</f>
        <v>44187.157404902144</v>
      </c>
      <c r="V62" s="354">
        <f t="shared" si="8"/>
        <v>40000</v>
      </c>
      <c r="W62" s="355" t="str">
        <f>IF(R62=0,"NA",IF(U62=0,"NA, &gt; Solubility",IF(U62=S62,T62,IF(U62=(VLOOKUP(A62,[1]!TOX,40,FALSE)),"Groundwater Background","Water PQL"))))</f>
        <v>50% Odor Threshold</v>
      </c>
    </row>
    <row r="63" spans="1:23" x14ac:dyDescent="0.25">
      <c r="A63" s="342" t="s">
        <v>214</v>
      </c>
      <c r="B63" s="356">
        <f>(VLOOKUP(A63,[1]!TOX,8,FALSE)*'[1]Target Risk'!$D$8*'GW-2 Exp'!$G$18*'GW-2 Exp'!$E$18)</f>
        <v>1.4000000000000001</v>
      </c>
      <c r="C63" s="414">
        <f>IF(VLOOKUP(A63,[1]!TOX,15,FALSE)=0,0,'[1]Target Risk'!$D$12/(VLOOKUP(A63,[1]!TOX,15,FALSE))*'GW-2 Exp'!$G$26)</f>
        <v>0</v>
      </c>
      <c r="D63" s="356">
        <f>IF(VLOOKUP(A63,[1]!TOX,15,FALSE)=0,0,IF(VLOOKUP(A63,[1]!TOX,36,FALSE)="M",'[1]Target Risk'!$D$12/((VLOOKUP(A63,[1]!TOX,15,FALSE))*(1*('GW-2 Exp'!$H$34))),0))</f>
        <v>0</v>
      </c>
      <c r="E63" s="415">
        <f>IF(VLOOKUP(A63,[1]!TOX,15,FALSE)=0,0,IF(VLOOKUP(A63,[1]!TOX,36,FALSE)="M",'[1]Target Risk'!$D$12/((VLOOKUP(A63,[1]!TOX,15,FALSE))*(1*('GW-2 Exp'!$H$34))),'[1]Target Risk'!$D$12/(VLOOKUP(A63,[1]!TOX,15,FALSE))*'GW-2 Exp'!$G$26))</f>
        <v>0</v>
      </c>
      <c r="F63" s="414">
        <f t="shared" si="0"/>
        <v>1.4000000000000001</v>
      </c>
      <c r="G63" s="356" t="str">
        <f t="shared" si="1"/>
        <v>Noncancer</v>
      </c>
      <c r="H63" s="437">
        <f>0.5*(VLOOKUP(A63,[1]!TOX,46,FALSE))</f>
        <v>0</v>
      </c>
      <c r="I63" s="356">
        <f t="shared" si="2"/>
        <v>1.4000000000000001</v>
      </c>
      <c r="J63" s="356" t="str">
        <f t="shared" si="3"/>
        <v>Noncancer</v>
      </c>
      <c r="K63" s="429">
        <f>(VLOOKUP(A63,[1]!TOX,41,FALSE))</f>
        <v>0</v>
      </c>
      <c r="L63" s="414">
        <f t="shared" si="4"/>
        <v>1.4000000000000001</v>
      </c>
      <c r="M63" s="435" t="str">
        <f t="shared" si="5"/>
        <v>Noncancer</v>
      </c>
      <c r="N63" s="425">
        <f>IF(O63=0,0,(VLOOKUP(A63,[2]!CCalcs,12,FALSE)))</f>
        <v>1.1214523150545081E-3</v>
      </c>
      <c r="O63" s="425">
        <f>(VLOOKUP(A63,[2]!CCalcs,4,FALSE))</f>
        <v>5.3414363239517675E-7</v>
      </c>
      <c r="P63" s="437">
        <v>1000</v>
      </c>
      <c r="Q63" s="437">
        <v>1</v>
      </c>
      <c r="R63" s="425">
        <f t="shared" si="6"/>
        <v>2337163.893844706</v>
      </c>
      <c r="S63" s="414">
        <f>IF(R63=0,0,IF(VLOOKUP(A63,[1]!TOX,52,FALSE)=0,MIN(VLOOKUP(A63,[1]!TOX,79,FALSE),R63),MIN(VLOOKUP(A63,[1]!TOX,79,FALSE),R63,(VLOOKUP(A63,[1]!TOX,52,FALSE)))))</f>
        <v>50000</v>
      </c>
      <c r="T63" s="435" t="str">
        <f>IF(R63=0,0,IF(R63=S63,M63,IF(S63=(VLOOKUP(A63,[1]!TOX,52,FALSE)),"Greater than Solubility","Ceiling Value")))</f>
        <v>Ceiling Value</v>
      </c>
      <c r="U63" s="356">
        <f>IF(R63=0,0,IF(AND([1]Toxicity!$AZ59&gt;0,R63&gt;[1]Toxicity!$AZ59,[1]Toxicity!$AZ59&lt;[1]Toxicity!$CA59),0,MAX(S63,[1]Toxicity!AY59,[1]Toxicity!AN59)))</f>
        <v>50000</v>
      </c>
      <c r="V63" s="354">
        <f t="shared" si="8"/>
        <v>50000</v>
      </c>
      <c r="W63" s="355" t="str">
        <f>IF(R63=0,"NA",IF(U63=0,"NA, &gt; Solubility",IF(U63=S63,T63,IF(U63=(VLOOKUP(A63,[1]!TOX,40,FALSE)),"Groundwater Background","Water PQL"))))</f>
        <v>Ceiling Value</v>
      </c>
    </row>
    <row r="64" spans="1:23" x14ac:dyDescent="0.25">
      <c r="A64" s="342" t="s">
        <v>215</v>
      </c>
      <c r="B64" s="356">
        <f>(VLOOKUP(A64,[1]!TOX,8,FALSE)*'[1]Target Risk'!$D$8*'GW-2 Exp'!$G$18*'GW-2 Exp'!$E$18)</f>
        <v>1.4000000000000001</v>
      </c>
      <c r="C64" s="414">
        <f>IF(VLOOKUP(A64,[1]!TOX,15,FALSE)=0,0,'[1]Target Risk'!$D$12/(VLOOKUP(A64,[1]!TOX,15,FALSE))*'GW-2 Exp'!$G$26)</f>
        <v>1.2009803921568625E-2</v>
      </c>
      <c r="D64" s="356">
        <f>IF(VLOOKUP(A64,[1]!TOX,15,FALSE)=0,0,IF(VLOOKUP(A64,[1]!TOX,36,FALSE)="M",'[1]Target Risk'!$D$12/((VLOOKUP(A64,[1]!TOX,15,FALSE))*(1*('GW-2 Exp'!$H$34))),0))</f>
        <v>0</v>
      </c>
      <c r="E64" s="415">
        <f>IF(VLOOKUP(A64,[1]!TOX,15,FALSE)=0,0,IF(VLOOKUP(A64,[1]!TOX,36,FALSE)="M",'[1]Target Risk'!$D$12/((VLOOKUP(A64,[1]!TOX,15,FALSE))*(1*('GW-2 Exp'!$H$34))),'[1]Target Risk'!$D$12/(VLOOKUP(A64,[1]!TOX,15,FALSE))*'GW-2 Exp'!$G$26))</f>
        <v>1.2009803921568625E-2</v>
      </c>
      <c r="F64" s="414">
        <f t="shared" si="0"/>
        <v>1.2009803921568625E-2</v>
      </c>
      <c r="G64" s="356" t="str">
        <f t="shared" si="1"/>
        <v>Cancer</v>
      </c>
      <c r="H64" s="437">
        <f>0.5*(VLOOKUP(A64,[1]!TOX,46,FALSE))</f>
        <v>0</v>
      </c>
      <c r="I64" s="356">
        <f t="shared" si="2"/>
        <v>1.2009803921568625E-2</v>
      </c>
      <c r="J64" s="356" t="str">
        <f t="shared" si="3"/>
        <v>Cancer</v>
      </c>
      <c r="K64" s="429">
        <f>(VLOOKUP(A64,[1]!TOX,41,FALSE))</f>
        <v>0</v>
      </c>
      <c r="L64" s="414">
        <f t="shared" si="4"/>
        <v>1.2009803921568625E-2</v>
      </c>
      <c r="M64" s="435" t="str">
        <f t="shared" si="5"/>
        <v>Cancer</v>
      </c>
      <c r="N64" s="425">
        <f>IF(O64=0,0,(VLOOKUP(A64,[2]!CCalcs,12,FALSE)))</f>
        <v>1.1532183344443534E-3</v>
      </c>
      <c r="O64" s="425">
        <f>(VLOOKUP(A64,[2]!CCalcs,4,FALSE))</f>
        <v>4.1817586230104226E-7</v>
      </c>
      <c r="P64" s="437">
        <v>1000</v>
      </c>
      <c r="Q64" s="437">
        <v>1</v>
      </c>
      <c r="R64" s="425">
        <f t="shared" si="6"/>
        <v>24903.788388442903</v>
      </c>
      <c r="S64" s="414">
        <f>IF(R64=0,0,IF(VLOOKUP(A64,[1]!TOX,52,FALSE)=0,MIN(VLOOKUP(A64,[1]!TOX,79,FALSE),R64),MIN(VLOOKUP(A64,[1]!TOX,79,FALSE),R64,(VLOOKUP(A64,[1]!TOX,52,FALSE)))))</f>
        <v>24903.788388442903</v>
      </c>
      <c r="T64" s="435" t="str">
        <f>IF(R64=0,0,IF(R64=S64,M64,IF(S64=(VLOOKUP(A64,[1]!TOX,52,FALSE)),"Greater than Solubility","Ceiling Value")))</f>
        <v>Cancer</v>
      </c>
      <c r="U64" s="356">
        <f>IF(R64=0,0,IF(AND([1]Toxicity!$AZ60&gt;0,R64&gt;[1]Toxicity!$AZ60,[1]Toxicity!$AZ60&lt;[1]Toxicity!$CA60),0,MAX(S64,[1]Toxicity!AY60,[1]Toxicity!AN60)))</f>
        <v>24903.788388442903</v>
      </c>
      <c r="V64" s="354">
        <f t="shared" si="8"/>
        <v>20000</v>
      </c>
      <c r="W64" s="355" t="str">
        <f>IF(R64=0,"NA",IF(U64=0,"NA, &gt; Solubility",IF(U64=S64,T64,IF(U64=(VLOOKUP(A64,[1]!TOX,40,FALSE)),"Groundwater Background","Water PQL"))))</f>
        <v>Cancer</v>
      </c>
    </row>
    <row r="65" spans="1:23" x14ac:dyDescent="0.25">
      <c r="A65" s="342" t="s">
        <v>343</v>
      </c>
      <c r="B65" s="356">
        <f>(VLOOKUP(A65,[1]!TOX,8,FALSE)*'[1]Target Risk'!$D$8*'GW-2 Exp'!$G$18*'GW-2 Exp'!$E$18)</f>
        <v>6</v>
      </c>
      <c r="C65" s="414">
        <f>IF(VLOOKUP(A65,[1]!TOX,15,FALSE)=0,0,'[1]Target Risk'!$D$12/(VLOOKUP(A65,[1]!TOX,15,FALSE))*'GW-2 Exp'!$G$26)</f>
        <v>0.46666666666666667</v>
      </c>
      <c r="D65" s="356">
        <f>IF(VLOOKUP(A65,[1]!TOX,15,FALSE)=0,0,IF(VLOOKUP(A65,[1]!TOX,36,FALSE)="M",'[1]Target Risk'!$D$12/((VLOOKUP(A65,[1]!TOX,15,FALSE))*(1*('GW-2 Exp'!$H$34))),0))</f>
        <v>0</v>
      </c>
      <c r="E65" s="415">
        <f>IF(VLOOKUP(A65,[1]!TOX,15,FALSE)=0,0,IF(VLOOKUP(A65,[1]!TOX,36,FALSE)="M",'[1]Target Risk'!$D$12/((VLOOKUP(A65,[1]!TOX,15,FALSE))*(1*('GW-2 Exp'!$H$34))),'[1]Target Risk'!$D$12/(VLOOKUP(A65,[1]!TOX,15,FALSE))*'GW-2 Exp'!$G$26))</f>
        <v>0.46666666666666667</v>
      </c>
      <c r="F65" s="414">
        <f t="shared" si="0"/>
        <v>0.46666666666666667</v>
      </c>
      <c r="G65" s="356" t="str">
        <f t="shared" si="1"/>
        <v>Cancer</v>
      </c>
      <c r="H65" s="437">
        <f>0.5*(VLOOKUP(A65,[1]!TOX,46,FALSE))</f>
        <v>0</v>
      </c>
      <c r="I65" s="356">
        <f t="shared" si="2"/>
        <v>0.46666666666666667</v>
      </c>
      <c r="J65" s="356" t="str">
        <f t="shared" si="3"/>
        <v>Cancer</v>
      </c>
      <c r="K65" s="429">
        <f>(VLOOKUP(A65,[1]!TOX,41,FALSE))</f>
        <v>0.33</v>
      </c>
      <c r="L65" s="414">
        <f t="shared" si="4"/>
        <v>0.46666666666666667</v>
      </c>
      <c r="M65" s="435" t="str">
        <f t="shared" si="5"/>
        <v>Cancer</v>
      </c>
      <c r="N65" s="425">
        <f>IF(O65=0,0,(VLOOKUP(A65,[2]!CCalcs,12,FALSE)))</f>
        <v>1.0784051650153535E-3</v>
      </c>
      <c r="O65" s="425">
        <f>(VLOOKUP(A65,[2]!CCalcs,4,FALSE))</f>
        <v>9.4410414183430919E-5</v>
      </c>
      <c r="P65" s="437">
        <v>1000</v>
      </c>
      <c r="Q65" s="437">
        <v>1</v>
      </c>
      <c r="R65" s="425">
        <f t="shared" si="6"/>
        <v>4583.5810875417692</v>
      </c>
      <c r="S65" s="414">
        <f>IF(R65=0,0,IF(VLOOKUP(A65,[1]!TOX,52,FALSE)=0,MIN(VLOOKUP(A65,[1]!TOX,79,FALSE),R65),MIN(VLOOKUP(A65,[1]!TOX,79,FALSE),R65,(VLOOKUP(A65,[1]!TOX,52,FALSE)))))</f>
        <v>4583.5810875417692</v>
      </c>
      <c r="T65" s="435" t="str">
        <f>IF(R65=0,0,IF(R65=S65,M65,IF(S65=(VLOOKUP(A65,[1]!TOX,52,FALSE)),"Greater than Solubility","Ceiling Value")))</f>
        <v>Cancer</v>
      </c>
      <c r="U65" s="356">
        <f>IF(R65=0,0,IF(AND([1]Toxicity!$AZ61&gt;0,R65&gt;[1]Toxicity!$AZ61,[1]Toxicity!$AZ61&lt;[1]Toxicity!$CA61),0,MAX(S65,[1]Toxicity!AY61,[1]Toxicity!AN61)))</f>
        <v>4583.5810875417692</v>
      </c>
      <c r="V65" s="354">
        <f t="shared" si="8"/>
        <v>5000</v>
      </c>
      <c r="W65" s="355" t="str">
        <f>IF(R65=0,"NA",IF(U65=0,"NA, &gt; Solubility",IF(U65=S65,T65,IF(U65=(VLOOKUP(A65,[1]!TOX,40,FALSE)),"Groundwater Background","Water PQL"))))</f>
        <v>Cancer</v>
      </c>
    </row>
    <row r="66" spans="1:23" x14ac:dyDescent="0.25">
      <c r="A66" s="342" t="s">
        <v>216</v>
      </c>
      <c r="B66" s="356">
        <f>(VLOOKUP(A66,[1]!TOX,8,FALSE)*'[1]Target Risk'!$D$8*'GW-2 Exp'!$G$18*'GW-2 Exp'!$E$18)</f>
        <v>4.2</v>
      </c>
      <c r="C66" s="414">
        <f>IF(VLOOKUP(A66,[1]!TOX,15,FALSE)=0,0,'[1]Target Risk'!$D$12/(VLOOKUP(A66,[1]!TOX,15,FALSE))*'GW-2 Exp'!$G$26)</f>
        <v>0</v>
      </c>
      <c r="D66" s="356">
        <f>IF(VLOOKUP(A66,[1]!TOX,15,FALSE)=0,0,IF(VLOOKUP(A66,[1]!TOX,36,FALSE)="M",'[1]Target Risk'!$D$12/((VLOOKUP(A66,[1]!TOX,15,FALSE))*(1*('GW-2 Exp'!$H$34))),0))</f>
        <v>0</v>
      </c>
      <c r="E66" s="415">
        <f>IF(VLOOKUP(A66,[1]!TOX,15,FALSE)=0,0,IF(VLOOKUP(A66,[1]!TOX,36,FALSE)="M",'[1]Target Risk'!$D$12/((VLOOKUP(A66,[1]!TOX,15,FALSE))*(1*('GW-2 Exp'!$H$34))),'[1]Target Risk'!$D$12/(VLOOKUP(A66,[1]!TOX,15,FALSE))*'GW-2 Exp'!$G$26))</f>
        <v>0</v>
      </c>
      <c r="F66" s="414">
        <f t="shared" si="0"/>
        <v>4.2</v>
      </c>
      <c r="G66" s="356" t="str">
        <f t="shared" si="1"/>
        <v>Noncancer</v>
      </c>
      <c r="H66" s="437">
        <f>0.5*(VLOOKUP(A66,[1]!TOX,46,FALSE))</f>
        <v>0</v>
      </c>
      <c r="I66" s="356">
        <f t="shared" si="2"/>
        <v>4.2</v>
      </c>
      <c r="J66" s="356" t="str">
        <f t="shared" si="3"/>
        <v>Noncancer</v>
      </c>
      <c r="K66" s="429">
        <f>(VLOOKUP(A66,[1]!TOX,41,FALSE))</f>
        <v>0</v>
      </c>
      <c r="L66" s="414">
        <f t="shared" si="4"/>
        <v>4.2</v>
      </c>
      <c r="M66" s="435" t="str">
        <f t="shared" si="5"/>
        <v>Noncancer</v>
      </c>
      <c r="N66" s="425">
        <f>IF(O66=0,0,(VLOOKUP(A66,[2]!CCalcs,12,FALSE)))</f>
        <v>5.426447855095579E-4</v>
      </c>
      <c r="O66" s="425">
        <f>(VLOOKUP(A66,[2]!CCalcs,4,FALSE))</f>
        <v>4.5795032996849252E-4</v>
      </c>
      <c r="P66" s="437">
        <v>1000</v>
      </c>
      <c r="Q66" s="437">
        <v>1</v>
      </c>
      <c r="R66" s="425">
        <f t="shared" si="6"/>
        <v>16901.112012695598</v>
      </c>
      <c r="S66" s="414">
        <f>IF(R66=0,0,IF(VLOOKUP(A66,[1]!TOX,52,FALSE)=0,MIN(VLOOKUP(A66,[1]!TOX,79,FALSE),R66),MIN(VLOOKUP(A66,[1]!TOX,79,FALSE),R66,(VLOOKUP(A66,[1]!TOX,52,FALSE)))))</f>
        <v>325</v>
      </c>
      <c r="T66" s="435" t="str">
        <f>IF(R66=0,0,IF(R66=S66,M66,IF(S66=(VLOOKUP(A66,[1]!TOX,52,FALSE)),"Greater than Solubility","Ceiling Value")))</f>
        <v>Greater than Solubility</v>
      </c>
      <c r="U66" s="356">
        <f>IF(R66=0,0,IF(AND([1]Toxicity!$AZ62&gt;0,R66&gt;[1]Toxicity!$AZ62,[1]Toxicity!$AZ62&lt;[1]Toxicity!$CA62),0,MAX(S66,[1]Toxicity!AY62,[1]Toxicity!AN62)))</f>
        <v>0</v>
      </c>
      <c r="V66" s="354"/>
      <c r="W66" s="355" t="str">
        <f>IF(R66=0,"NA",IF(U66=0,"NA, &gt; Solubility",IF(U66=S66,T66,IF(U66=(VLOOKUP(A66,[1]!TOX,40,FALSE)),"Groundwater Background","Water PQL"))))</f>
        <v>NA, &gt; Solubility</v>
      </c>
    </row>
    <row r="67" spans="1:23" x14ac:dyDescent="0.25">
      <c r="A67" s="342" t="s">
        <v>217</v>
      </c>
      <c r="B67" s="356">
        <f>(VLOOKUP(A67,[1]!TOX,8,FALSE)*'[1]Target Risk'!$D$8*'GW-2 Exp'!$G$18*'GW-2 Exp'!$E$18)</f>
        <v>0.22000000000000003</v>
      </c>
      <c r="C67" s="414">
        <f>IF(VLOOKUP(A67,[1]!TOX,15,FALSE)=0,0,'[1]Target Risk'!$D$12/(VLOOKUP(A67,[1]!TOX,15,FALSE))*'GW-2 Exp'!$G$26)</f>
        <v>0</v>
      </c>
      <c r="D67" s="356">
        <f>IF(VLOOKUP(A67,[1]!TOX,15,FALSE)=0,0,IF(VLOOKUP(A67,[1]!TOX,36,FALSE)="M",'[1]Target Risk'!$D$12/((VLOOKUP(A67,[1]!TOX,15,FALSE))*(1*('GW-2 Exp'!$H$34))),0))</f>
        <v>0</v>
      </c>
      <c r="E67" s="415">
        <f>IF(VLOOKUP(A67,[1]!TOX,15,FALSE)=0,0,IF(VLOOKUP(A67,[1]!TOX,36,FALSE)="M",'[1]Target Risk'!$D$12/((VLOOKUP(A67,[1]!TOX,15,FALSE))*(1*('GW-2 Exp'!$H$34))),'[1]Target Risk'!$D$12/(VLOOKUP(A67,[1]!TOX,15,FALSE))*'GW-2 Exp'!$G$26))</f>
        <v>0</v>
      </c>
      <c r="F67" s="414">
        <f t="shared" si="0"/>
        <v>0.22000000000000003</v>
      </c>
      <c r="G67" s="356" t="str">
        <f t="shared" si="1"/>
        <v>Noncancer</v>
      </c>
      <c r="H67" s="437">
        <f>0.5*(VLOOKUP(A67,[1]!TOX,46,FALSE))</f>
        <v>0</v>
      </c>
      <c r="I67" s="356">
        <f t="shared" si="2"/>
        <v>0.22000000000000003</v>
      </c>
      <c r="J67" s="356" t="str">
        <f t="shared" si="3"/>
        <v>Noncancer</v>
      </c>
      <c r="K67" s="429">
        <f>(VLOOKUP(A67,[1]!TOX,41,FALSE))</f>
        <v>0</v>
      </c>
      <c r="L67" s="414">
        <f t="shared" si="4"/>
        <v>0.22000000000000003</v>
      </c>
      <c r="M67" s="435" t="str">
        <f t="shared" si="5"/>
        <v>Noncancer</v>
      </c>
      <c r="N67" s="425">
        <f>IF(O67=0,0,(VLOOKUP(A67,[2]!CCalcs,12,FALSE)))</f>
        <v>8.6583334982876967E-4</v>
      </c>
      <c r="O67" s="425">
        <f>(VLOOKUP(A67,[2]!CCalcs,4,FALSE))</f>
        <v>5.5639461924499086E-5</v>
      </c>
      <c r="P67" s="437">
        <v>1000</v>
      </c>
      <c r="Q67" s="437">
        <v>1</v>
      </c>
      <c r="R67" s="425">
        <f t="shared" si="6"/>
        <v>4566.7312008031085</v>
      </c>
      <c r="S67" s="414">
        <f>IF(R67=0,0,IF(VLOOKUP(A67,[1]!TOX,52,FALSE)=0,MIN(VLOOKUP(A67,[1]!TOX,79,FALSE),R67),MIN(VLOOKUP(A67,[1]!TOX,79,FALSE),R67,(VLOOKUP(A67,[1]!TOX,52,FALSE)))))</f>
        <v>250</v>
      </c>
      <c r="T67" s="435" t="str">
        <f>IF(R67=0,0,IF(R67=S67,M67,IF(S67=(VLOOKUP(A67,[1]!TOX,52,FALSE)),"Greater than Solubility","Ceiling Value")))</f>
        <v>Greater than Solubility</v>
      </c>
      <c r="U67" s="356">
        <f>IF(R67=0,0,IF(AND([1]Toxicity!$AZ63&gt;0,R67&gt;[1]Toxicity!$AZ63,[1]Toxicity!$AZ63&lt;[1]Toxicity!$CA63),0,MAX(S67,[1]Toxicity!AY63,[1]Toxicity!AN63)))</f>
        <v>0</v>
      </c>
      <c r="V67" s="354"/>
      <c r="W67" s="355" t="str">
        <f>IF(R67=0,"NA",IF(U67=0,"NA, &gt; Solubility",IF(U67=S67,T67,IF(U67=(VLOOKUP(A67,[1]!TOX,40,FALSE)),"Groundwater Background","Water PQL"))))</f>
        <v>NA, &gt; Solubility</v>
      </c>
    </row>
    <row r="68" spans="1:23" x14ac:dyDescent="0.25">
      <c r="A68" s="342" t="s">
        <v>218</v>
      </c>
      <c r="B68" s="356">
        <f>(VLOOKUP(A68,[1]!TOX,8,FALSE)*'[1]Target Risk'!$D$8*'GW-2 Exp'!$G$18*'GW-2 Exp'!$E$18)</f>
        <v>200</v>
      </c>
      <c r="C68" s="414">
        <f>IF(VLOOKUP(A68,[1]!TOX,15,FALSE)=0,0,'[1]Target Risk'!$D$12/(VLOOKUP(A68,[1]!TOX,15,FALSE))*'GW-2 Exp'!$G$26)</f>
        <v>0</v>
      </c>
      <c r="D68" s="356">
        <f>IF(VLOOKUP(A68,[1]!TOX,15,FALSE)=0,0,IF(VLOOKUP(A68,[1]!TOX,36,FALSE)="M",'[1]Target Risk'!$D$12/((VLOOKUP(A68,[1]!TOX,15,FALSE))*(1*('GW-2 Exp'!$H$34))),0))</f>
        <v>0</v>
      </c>
      <c r="E68" s="415">
        <f>IF(VLOOKUP(A68,[1]!TOX,15,FALSE)=0,0,IF(VLOOKUP(A68,[1]!TOX,36,FALSE)="M",'[1]Target Risk'!$D$12/((VLOOKUP(A68,[1]!TOX,15,FALSE))*(1*('GW-2 Exp'!$H$34))),'[1]Target Risk'!$D$12/(VLOOKUP(A68,[1]!TOX,15,FALSE))*'GW-2 Exp'!$G$26))</f>
        <v>0</v>
      </c>
      <c r="F68" s="414">
        <f t="shared" si="0"/>
        <v>200</v>
      </c>
      <c r="G68" s="356" t="str">
        <f t="shared" si="1"/>
        <v>Noncancer</v>
      </c>
      <c r="H68" s="437">
        <f>0.5*(VLOOKUP(A68,[1]!TOX,46,FALSE))</f>
        <v>1000</v>
      </c>
      <c r="I68" s="356">
        <f t="shared" si="2"/>
        <v>200</v>
      </c>
      <c r="J68" s="356" t="str">
        <f t="shared" si="3"/>
        <v>Noncancer</v>
      </c>
      <c r="K68" s="429">
        <f>(VLOOKUP(A68,[1]!TOX,41,FALSE))</f>
        <v>7.4</v>
      </c>
      <c r="L68" s="414">
        <f t="shared" si="4"/>
        <v>200</v>
      </c>
      <c r="M68" s="435" t="str">
        <f t="shared" si="5"/>
        <v>Noncancer</v>
      </c>
      <c r="N68" s="425">
        <f>IF(O68=0,0,(VLOOKUP(A68,[2]!CCalcs,12,FALSE)))</f>
        <v>7.3899218013847093E-4</v>
      </c>
      <c r="O68" s="425">
        <f>(VLOOKUP(A68,[2]!CCalcs,4,FALSE))</f>
        <v>0.13678420674534716</v>
      </c>
      <c r="P68" s="437">
        <v>1000</v>
      </c>
      <c r="Q68" s="437">
        <v>10</v>
      </c>
      <c r="R68" s="425">
        <f t="shared" si="6"/>
        <v>19785.826510287861</v>
      </c>
      <c r="S68" s="414">
        <f>IF(R68=0,0,IF(VLOOKUP(A68,[1]!TOX,52,FALSE)=0,MIN(VLOOKUP(A68,[1]!TOX,79,FALSE),R68),MIN(VLOOKUP(A68,[1]!TOX,79,FALSE),R68,(VLOOKUP(A68,[1]!TOX,52,FALSE)))))</f>
        <v>19785.826510287861</v>
      </c>
      <c r="T68" s="435" t="str">
        <f>IF(R68=0,0,IF(R68=S68,M68,IF(S68=(VLOOKUP(A68,[1]!TOX,52,FALSE)),"Greater than Solubility","Ceiling Value")))</f>
        <v>Noncancer</v>
      </c>
      <c r="U68" s="356">
        <f>IF(R68=0,0,IF(AND([1]Toxicity!$AZ64&gt;0,R68&gt;[1]Toxicity!$AZ64,[1]Toxicity!$AZ64&lt;[1]Toxicity!$CA64),0,MAX(S68,[1]Toxicity!AY64,[1]Toxicity!AN64)))</f>
        <v>19785.826510287861</v>
      </c>
      <c r="V68" s="354">
        <f>ROUND(U68,-INT(LOG10(ABS(U68))))</f>
        <v>20000</v>
      </c>
      <c r="W68" s="355" t="str">
        <f>IF(R68=0,"NA",IF(U68=0,"NA, &gt; Solubility",IF(U68=S68,T68,IF(U68=(VLOOKUP(A68,[1]!TOX,40,FALSE)),"Groundwater Background","Water PQL"))))</f>
        <v>Noncancer</v>
      </c>
    </row>
    <row r="69" spans="1:23" x14ac:dyDescent="0.25">
      <c r="A69" s="342" t="s">
        <v>283</v>
      </c>
      <c r="B69" s="356">
        <f>(VLOOKUP(A69,[1]!TOX,8,FALSE)*'[1]Target Risk'!$D$8*'GW-2 Exp'!$G$18*'GW-2 Exp'!$E$18)</f>
        <v>1.8</v>
      </c>
      <c r="C69" s="414">
        <f>IF(VLOOKUP(A69,[1]!TOX,15,FALSE)=0,0,'[1]Target Risk'!$D$12/(VLOOKUP(A69,[1]!TOX,15,FALSE))*'GW-2 Exp'!$G$26)</f>
        <v>7.7777777777777784E-3</v>
      </c>
      <c r="D69" s="356">
        <f>IF(VLOOKUP(A69,[1]!TOX,15,FALSE)=0,0,IF(VLOOKUP(A69,[1]!TOX,36,FALSE)="M",'[1]Target Risk'!$D$12/((VLOOKUP(A69,[1]!TOX,15,FALSE))*(1*('GW-2 Exp'!$H$34))),0))</f>
        <v>0</v>
      </c>
      <c r="E69" s="415">
        <f>IF(VLOOKUP(A69,[1]!TOX,15,FALSE)=0,0,IF(VLOOKUP(A69,[1]!TOX,36,FALSE)="M",'[1]Target Risk'!$D$12/((VLOOKUP(A69,[1]!TOX,15,FALSE))*(1*('GW-2 Exp'!$H$34))),'[1]Target Risk'!$D$12/(VLOOKUP(A69,[1]!TOX,15,FALSE))*'GW-2 Exp'!$G$26))</f>
        <v>7.7777777777777784E-3</v>
      </c>
      <c r="F69" s="414">
        <f t="shared" si="0"/>
        <v>7.7777777777777784E-3</v>
      </c>
      <c r="G69" s="356" t="str">
        <f t="shared" si="1"/>
        <v>Cancer</v>
      </c>
      <c r="H69" s="437">
        <f>0.5*(VLOOKUP(A69,[1]!TOX,46,FALSE))</f>
        <v>100000</v>
      </c>
      <c r="I69" s="356">
        <f t="shared" si="2"/>
        <v>7.7777777777777784E-3</v>
      </c>
      <c r="J69" s="356" t="str">
        <f t="shared" si="3"/>
        <v>Cancer</v>
      </c>
      <c r="K69" s="429">
        <f>(VLOOKUP(A69,[1]!TOX,41,FALSE))</f>
        <v>0</v>
      </c>
      <c r="L69" s="414">
        <f t="shared" si="4"/>
        <v>7.7777777777777784E-3</v>
      </c>
      <c r="M69" s="435" t="str">
        <f t="shared" si="5"/>
        <v>Cancer</v>
      </c>
      <c r="N69" s="425">
        <f>IF(O69=0,0,(VLOOKUP(A69,[2]!CCalcs,12,FALSE)))</f>
        <v>4.4709683863520806E-4</v>
      </c>
      <c r="O69" s="425">
        <f>(VLOOKUP(A69,[2]!CCalcs,4,FALSE))</f>
        <v>1.0908333167038166E-2</v>
      </c>
      <c r="P69" s="437">
        <v>1000</v>
      </c>
      <c r="Q69" s="437">
        <v>1</v>
      </c>
      <c r="R69" s="425">
        <f t="shared" si="6"/>
        <v>1.594760747502928</v>
      </c>
      <c r="S69" s="414">
        <f>IF(R69=0,0,IF(VLOOKUP(A69,[1]!TOX,52,FALSE)=0,MIN(VLOOKUP(A69,[1]!TOX,79,FALSE),R69),MIN(VLOOKUP(A69,[1]!TOX,79,FALSE),R69,(VLOOKUP(A69,[1]!TOX,52,FALSE)))))</f>
        <v>1.594760747502928</v>
      </c>
      <c r="T69" s="435" t="str">
        <f>IF(R69=0,0,IF(R69=S69,M69,IF(S69=(VLOOKUP(A69,[1]!TOX,52,FALSE)),"Greater than Solubility","Ceiling Value")))</f>
        <v>Cancer</v>
      </c>
      <c r="U69" s="356">
        <f>IF(R69=0,0,IF(AND([1]Toxicity!$AZ65&gt;0,R69&gt;[1]Toxicity!$AZ65,[1]Toxicity!$AZ65&lt;[1]Toxicity!$CA65),0,MAX(S69,[1]Toxicity!AY65,[1]Toxicity!AN65)))</f>
        <v>1.594760747502928</v>
      </c>
      <c r="V69" s="354">
        <f>ROUND(U69,-INT(LOG10(ABS(U69))))</f>
        <v>2</v>
      </c>
      <c r="W69" s="355" t="str">
        <f>IF(R69=0,"NA",IF(U69=0,"NA, &gt; Solubility",IF(U69=S69,T69,IF(U69=(VLOOKUP(A69,[1]!TOX,40,FALSE)),"Groundwater Background","Water PQL"))))</f>
        <v>Cancer</v>
      </c>
    </row>
    <row r="70" spans="1:23" x14ac:dyDescent="0.25">
      <c r="A70" s="342" t="s">
        <v>219</v>
      </c>
      <c r="B70" s="356">
        <f>(VLOOKUP(A70,[1]!TOX,8,FALSE)*'[1]Target Risk'!$D$8*'GW-2 Exp'!$G$18*'GW-2 Exp'!$E$18)</f>
        <v>10.000000000000002</v>
      </c>
      <c r="C70" s="414">
        <f>IF(VLOOKUP(A70,[1]!TOX,15,FALSE)=0,0,'[1]Target Risk'!$D$12/(VLOOKUP(A70,[1]!TOX,15,FALSE))*'GW-2 Exp'!$G$26)</f>
        <v>0</v>
      </c>
      <c r="D70" s="356">
        <f>IF(VLOOKUP(A70,[1]!TOX,15,FALSE)=0,0,IF(VLOOKUP(A70,[1]!TOX,36,FALSE)="M",'[1]Target Risk'!$D$12/((VLOOKUP(A70,[1]!TOX,15,FALSE))*(1*('GW-2 Exp'!$H$34))),0))</f>
        <v>0</v>
      </c>
      <c r="E70" s="415">
        <f>IF(VLOOKUP(A70,[1]!TOX,15,FALSE)=0,0,IF(VLOOKUP(A70,[1]!TOX,36,FALSE)="M",'[1]Target Risk'!$D$12/((VLOOKUP(A70,[1]!TOX,15,FALSE))*(1*('GW-2 Exp'!$H$34))),'[1]Target Risk'!$D$12/(VLOOKUP(A70,[1]!TOX,15,FALSE))*'GW-2 Exp'!$G$26))</f>
        <v>0</v>
      </c>
      <c r="F70" s="414">
        <f t="shared" si="0"/>
        <v>10.000000000000002</v>
      </c>
      <c r="G70" s="356" t="str">
        <f t="shared" si="1"/>
        <v>Noncancer</v>
      </c>
      <c r="H70" s="437">
        <f>0.5*(VLOOKUP(A70,[1]!TOX,46,FALSE))</f>
        <v>0</v>
      </c>
      <c r="I70" s="356">
        <f t="shared" ref="I70:I129" si="9">IF(F70=0,H70,IF(H70=0,F70,MIN(F70,H70)))</f>
        <v>10.000000000000002</v>
      </c>
      <c r="J70" s="356" t="str">
        <f t="shared" ref="J70:J129" si="10">IF(I70=0,0,IF(I70=H70,"50% Odor Threshold",G70))</f>
        <v>Noncancer</v>
      </c>
      <c r="K70" s="429">
        <f>(VLOOKUP(A70,[1]!TOX,41,FALSE))</f>
        <v>0</v>
      </c>
      <c r="L70" s="414">
        <f t="shared" ref="L70:L129" si="11">MAX(K70,I70)</f>
        <v>10.000000000000002</v>
      </c>
      <c r="M70" s="435" t="str">
        <f t="shared" ref="M70:M129" si="12">IF(L70=0,0,IF(L70=K70,"Background Indoor Air",J70))</f>
        <v>Noncancer</v>
      </c>
      <c r="N70" s="425">
        <f>IF(O70=0,0,(VLOOKUP(A70,[2]!CCalcs,12,FALSE)))</f>
        <v>9.7251536849307131E-4</v>
      </c>
      <c r="O70" s="425">
        <f>(VLOOKUP(A70,[2]!CCalcs,4,FALSE))</f>
        <v>6.3185334960530544E-5</v>
      </c>
      <c r="P70" s="437">
        <v>1000</v>
      </c>
      <c r="Q70" s="437">
        <v>1</v>
      </c>
      <c r="R70" s="425">
        <f t="shared" si="6"/>
        <v>162737.3481376936</v>
      </c>
      <c r="S70" s="414">
        <f>IF(R70=0,0,IF(VLOOKUP(A70,[1]!TOX,52,FALSE)=0,MIN(VLOOKUP(A70,[1]!TOX,79,FALSE),R70),MIN(VLOOKUP(A70,[1]!TOX,79,FALSE),R70,(VLOOKUP(A70,[1]!TOX,52,FALSE)))))</f>
        <v>260</v>
      </c>
      <c r="T70" s="435" t="str">
        <f>IF(R70=0,0,IF(R70=S70,M70,IF(S70=(VLOOKUP(A70,[1]!TOX,52,FALSE)),"Greater than Solubility","Ceiling Value")))</f>
        <v>Greater than Solubility</v>
      </c>
      <c r="U70" s="356">
        <f>IF(R70=0,0,IF(AND([1]Toxicity!$AZ66&gt;0,R70&gt;[1]Toxicity!$AZ66,[1]Toxicity!$AZ66&lt;[1]Toxicity!$CA66),0,MAX(S70,[1]Toxicity!AY66,[1]Toxicity!AN66)))</f>
        <v>0</v>
      </c>
      <c r="V70" s="354"/>
      <c r="W70" s="355" t="str">
        <f>IF(R70=0,"NA",IF(U70=0,"NA, &gt; Solubility",IF(U70=S70,T70,IF(U70=(VLOOKUP(A70,[1]!TOX,40,FALSE)),"Groundwater Background","Water PQL"))))</f>
        <v>NA, &gt; Solubility</v>
      </c>
    </row>
    <row r="71" spans="1:23" x14ac:dyDescent="0.25">
      <c r="A71" s="342" t="s">
        <v>220</v>
      </c>
      <c r="B71" s="356">
        <f>(VLOOKUP(A71,[1]!TOX,8,FALSE)*'[1]Target Risk'!$D$8*'GW-2 Exp'!$G$18*'GW-2 Exp'!$E$18)</f>
        <v>10.000000000000002</v>
      </c>
      <c r="C71" s="414">
        <f>IF(VLOOKUP(A71,[1]!TOX,15,FALSE)=0,0,'[1]Target Risk'!$D$12/(VLOOKUP(A71,[1]!TOX,15,FALSE))*'GW-2 Exp'!$G$26)</f>
        <v>0</v>
      </c>
      <c r="D71" s="356">
        <f>IF(VLOOKUP(A71,[1]!TOX,15,FALSE)=0,0,IF(VLOOKUP(A71,[1]!TOX,36,FALSE)="M",'[1]Target Risk'!$D$12/((VLOOKUP(A71,[1]!TOX,15,FALSE))*(1*('GW-2 Exp'!$H$34))),0))</f>
        <v>0</v>
      </c>
      <c r="E71" s="415">
        <f>IF(VLOOKUP(A71,[1]!TOX,15,FALSE)=0,0,IF(VLOOKUP(A71,[1]!TOX,36,FALSE)="M",'[1]Target Risk'!$D$12/((VLOOKUP(A71,[1]!TOX,15,FALSE))*(1*('GW-2 Exp'!$H$34))),'[1]Target Risk'!$D$12/(VLOOKUP(A71,[1]!TOX,15,FALSE))*'GW-2 Exp'!$G$26))</f>
        <v>0</v>
      </c>
      <c r="F71" s="414">
        <f t="shared" si="0"/>
        <v>10.000000000000002</v>
      </c>
      <c r="G71" s="356" t="str">
        <f t="shared" si="1"/>
        <v>Noncancer</v>
      </c>
      <c r="H71" s="437">
        <f>0.5*(VLOOKUP(A71,[1]!TOX,46,FALSE))</f>
        <v>0</v>
      </c>
      <c r="I71" s="356">
        <f t="shared" si="9"/>
        <v>10.000000000000002</v>
      </c>
      <c r="J71" s="356" t="str">
        <f t="shared" si="10"/>
        <v>Noncancer</v>
      </c>
      <c r="K71" s="429">
        <f>(VLOOKUP(A71,[1]!TOX,41,FALSE))</f>
        <v>0</v>
      </c>
      <c r="L71" s="414">
        <f t="shared" si="11"/>
        <v>10.000000000000002</v>
      </c>
      <c r="M71" s="435" t="str">
        <f t="shared" si="12"/>
        <v>Noncancer</v>
      </c>
      <c r="N71" s="425">
        <f>IF(O71=0,0,(VLOOKUP(A71,[2]!CCalcs,12,FALSE)))</f>
        <v>6.7860971152405814E-4</v>
      </c>
      <c r="O71" s="425">
        <f>(VLOOKUP(A71,[2]!CCalcs,4,FALSE))</f>
        <v>9.6958340304077186E-4</v>
      </c>
      <c r="P71" s="437">
        <v>1000</v>
      </c>
      <c r="Q71" s="437">
        <v>1</v>
      </c>
      <c r="R71" s="425">
        <f t="shared" ref="R71:R129" si="13">IF(OR(L71=0,N71=0,O71=0),0,L71*Q71/(N71*O71*P71))</f>
        <v>15198.29103693773</v>
      </c>
      <c r="S71" s="414">
        <f>IF(R71=0,0,IF(VLOOKUP(A71,[1]!TOX,52,FALSE)=0,MIN(VLOOKUP(A71,[1]!TOX,79,FALSE),R71),MIN(VLOOKUP(A71,[1]!TOX,79,FALSE),R71,(VLOOKUP(A71,[1]!TOX,52,FALSE)))))</f>
        <v>1890</v>
      </c>
      <c r="T71" s="435" t="str">
        <f>IF(R71=0,0,IF(R71=S71,M71,IF(S71=(VLOOKUP(A71,[1]!TOX,52,FALSE)),"Greater than Solubility","Ceiling Value")))</f>
        <v>Greater than Solubility</v>
      </c>
      <c r="U71" s="356">
        <f>IF(R71=0,0,IF(AND([1]Toxicity!$AZ67&gt;0,R71&gt;[1]Toxicity!$AZ67,[1]Toxicity!$AZ67&lt;[1]Toxicity!$CA67),0,MAX(S71,[1]Toxicity!AY67,[1]Toxicity!AN67)))</f>
        <v>0</v>
      </c>
      <c r="V71" s="354"/>
      <c r="W71" s="355" t="str">
        <f>IF(R71=0,"NA",IF(U71=0,"NA, &gt; Solubility",IF(U71=S71,T71,IF(U71=(VLOOKUP(A71,[1]!TOX,40,FALSE)),"Groundwater Background","Water PQL"))))</f>
        <v>NA, &gt; Solubility</v>
      </c>
    </row>
    <row r="72" spans="1:23" x14ac:dyDescent="0.25">
      <c r="A72" s="342" t="s">
        <v>221</v>
      </c>
      <c r="B72" s="356">
        <f>(VLOOKUP(A72,[1]!TOX,8,FALSE)*'[1]Target Risk'!$D$8*'GW-2 Exp'!$G$18*'GW-2 Exp'!$E$18)</f>
        <v>0.2</v>
      </c>
      <c r="C72" s="414">
        <f>IF(VLOOKUP(A72,[1]!TOX,15,FALSE)=0,0,'[1]Target Risk'!$D$12/(VLOOKUP(A72,[1]!TOX,15,FALSE))*'GW-2 Exp'!$G$26)</f>
        <v>1.7948717948717951E-3</v>
      </c>
      <c r="D72" s="356">
        <f>IF(VLOOKUP(A72,[1]!TOX,15,FALSE)=0,0,IF(VLOOKUP(A72,[1]!TOX,36,FALSE)="M",'[1]Target Risk'!$D$12/((VLOOKUP(A72,[1]!TOX,15,FALSE))*(1*('GW-2 Exp'!$H$34))),0))</f>
        <v>0</v>
      </c>
      <c r="E72" s="415">
        <f>IF(VLOOKUP(A72,[1]!TOX,15,FALSE)=0,0,IF(VLOOKUP(A72,[1]!TOX,36,FALSE)="M",'[1]Target Risk'!$D$12/((VLOOKUP(A72,[1]!TOX,15,FALSE))*(1*('GW-2 Exp'!$H$34))),'[1]Target Risk'!$D$12/(VLOOKUP(A72,[1]!TOX,15,FALSE))*'GW-2 Exp'!$G$26))</f>
        <v>1.7948717948717951E-3</v>
      </c>
      <c r="F72" s="414">
        <f t="shared" ref="F72:F129" si="14">IF(E72=0,B72,IF(B72=0,E72, MIN(B72,E72)))</f>
        <v>1.7948717948717951E-3</v>
      </c>
      <c r="G72" s="356" t="str">
        <f t="shared" ref="G72:G116" si="15">IF(F72=0,0,IF(F72=B72,"Noncancer","Cancer"))</f>
        <v>Cancer</v>
      </c>
      <c r="H72" s="437">
        <f>0.5*(VLOOKUP(A72,[1]!TOX,46,FALSE))</f>
        <v>150</v>
      </c>
      <c r="I72" s="356">
        <f t="shared" si="9"/>
        <v>1.7948717948717951E-3</v>
      </c>
      <c r="J72" s="356" t="str">
        <f t="shared" si="10"/>
        <v>Cancer</v>
      </c>
      <c r="K72" s="429">
        <f>(VLOOKUP(A72,[1]!TOX,41,FALSE))</f>
        <v>0</v>
      </c>
      <c r="L72" s="414">
        <f t="shared" si="11"/>
        <v>1.7948717948717951E-3</v>
      </c>
      <c r="M72" s="435" t="str">
        <f t="shared" si="12"/>
        <v>Cancer</v>
      </c>
      <c r="N72" s="425">
        <f>IF(O72=0,0,(VLOOKUP(A72,[2]!CCalcs,12,FALSE)))</f>
        <v>3.4322536975062509E-4</v>
      </c>
      <c r="O72" s="425">
        <f>(VLOOKUP(A72,[2]!CCalcs,4,FALSE))</f>
        <v>2.4504134223203118E-3</v>
      </c>
      <c r="P72" s="437">
        <v>1000</v>
      </c>
      <c r="Q72" s="437">
        <v>1</v>
      </c>
      <c r="R72" s="425">
        <f t="shared" si="13"/>
        <v>2.1340996213515262</v>
      </c>
      <c r="S72" s="414">
        <f>IF(R72=0,0,IF(VLOOKUP(A72,[1]!TOX,52,FALSE)=0,MIN(VLOOKUP(A72,[1]!TOX,79,FALSE),R72),MIN(VLOOKUP(A72,[1]!TOX,79,FALSE),R72,(VLOOKUP(A72,[1]!TOX,52,FALSE)))))</f>
        <v>2.1340996213515262</v>
      </c>
      <c r="T72" s="435" t="str">
        <f>IF(R72=0,0,IF(R72=S72,M72,IF(S72=(VLOOKUP(A72,[1]!TOX,52,FALSE)),"Greater than Solubility","Ceiling Value")))</f>
        <v>Cancer</v>
      </c>
      <c r="U72" s="356">
        <f>IF(R72=0,0,IF(AND([1]Toxicity!$AZ68&gt;0,R72&gt;[1]Toxicity!$AZ68,[1]Toxicity!$AZ68&lt;[1]Toxicity!$CA68),0,MAX(S72,[1]Toxicity!AY68,[1]Toxicity!AN68)))</f>
        <v>2.1340996213515262</v>
      </c>
      <c r="V72" s="354">
        <f t="shared" ref="V72:V78" si="16">ROUND(U72,-INT(LOG10(ABS(U72))))</f>
        <v>2</v>
      </c>
      <c r="W72" s="355" t="str">
        <f>IF(R72=0,"NA",IF(U72=0,"NA, &gt; Solubility",IF(U72=S72,T72,IF(U72=(VLOOKUP(A72,[1]!TOX,40,FALSE)),"Groundwater Background","Water PQL"))))</f>
        <v>Cancer</v>
      </c>
    </row>
    <row r="73" spans="1:23" x14ac:dyDescent="0.25">
      <c r="A73" s="342" t="s">
        <v>222</v>
      </c>
      <c r="B73" s="356">
        <f>(VLOOKUP(A73,[1]!TOX,8,FALSE)*'[1]Target Risk'!$D$8*'GW-2 Exp'!$G$18*'GW-2 Exp'!$E$18)</f>
        <v>9.1999999999999998E-3</v>
      </c>
      <c r="C73" s="414">
        <f>IF(VLOOKUP(A73,[1]!TOX,15,FALSE)=0,0,'[1]Target Risk'!$D$12/(VLOOKUP(A73,[1]!TOX,15,FALSE))*'GW-2 Exp'!$G$26)</f>
        <v>8.9743589743589754E-4</v>
      </c>
      <c r="D73" s="356">
        <f>IF(VLOOKUP(A73,[1]!TOX,15,FALSE)=0,0,IF(VLOOKUP(A73,[1]!TOX,36,FALSE)="M",'[1]Target Risk'!$D$12/((VLOOKUP(A73,[1]!TOX,15,FALSE))*(1*('GW-2 Exp'!$H$34))),0))</f>
        <v>0</v>
      </c>
      <c r="E73" s="415">
        <f>IF(VLOOKUP(A73,[1]!TOX,15,FALSE)=0,0,IF(VLOOKUP(A73,[1]!TOX,36,FALSE)="M",'[1]Target Risk'!$D$12/((VLOOKUP(A73,[1]!TOX,15,FALSE))*(1*('GW-2 Exp'!$H$34))),'[1]Target Risk'!$D$12/(VLOOKUP(A73,[1]!TOX,15,FALSE))*'GW-2 Exp'!$G$26))</f>
        <v>8.9743589743589754E-4</v>
      </c>
      <c r="F73" s="414">
        <f t="shared" si="14"/>
        <v>8.9743589743589754E-4</v>
      </c>
      <c r="G73" s="356" t="str">
        <f t="shared" si="15"/>
        <v>Cancer</v>
      </c>
      <c r="H73" s="437">
        <f>0.5*(VLOOKUP(A73,[1]!TOX,46,FALSE))</f>
        <v>150</v>
      </c>
      <c r="I73" s="356">
        <f t="shared" si="9"/>
        <v>8.9743589743589754E-4</v>
      </c>
      <c r="J73" s="356" t="str">
        <f t="shared" si="10"/>
        <v>Cancer</v>
      </c>
      <c r="K73" s="429">
        <f>(VLOOKUP(A73,[1]!TOX,41,FALSE))</f>
        <v>0</v>
      </c>
      <c r="L73" s="414">
        <f t="shared" si="11"/>
        <v>8.9743589743589754E-4</v>
      </c>
      <c r="M73" s="435" t="str">
        <f t="shared" si="12"/>
        <v>Cancer</v>
      </c>
      <c r="N73" s="425">
        <f>IF(O73=0,0,(VLOOKUP(A73,[2]!CCalcs,12,FALSE)))</f>
        <v>7.1631642127834624E-4</v>
      </c>
      <c r="O73" s="425">
        <f>(VLOOKUP(A73,[2]!CCalcs,4,FALSE))</f>
        <v>1.7067998521392186E-4</v>
      </c>
      <c r="P73" s="437">
        <v>1000</v>
      </c>
      <c r="Q73" s="437">
        <v>1</v>
      </c>
      <c r="R73" s="425">
        <f t="shared" si="13"/>
        <v>7.3403358898272231</v>
      </c>
      <c r="S73" s="414">
        <f>IF(R73=0,0,IF(VLOOKUP(A73,[1]!TOX,52,FALSE)=0,MIN(VLOOKUP(A73,[1]!TOX,79,FALSE),R73),MIN(VLOOKUP(A73,[1]!TOX,79,FALSE),R73,(VLOOKUP(A73,[1]!TOX,52,FALSE)))))</f>
        <v>7.3403358898272231</v>
      </c>
      <c r="T73" s="435" t="str">
        <f>IF(R73=0,0,IF(R73=S73,M73,IF(S73=(VLOOKUP(A73,[1]!TOX,52,FALSE)),"Greater than Solubility","Ceiling Value")))</f>
        <v>Cancer</v>
      </c>
      <c r="U73" s="356">
        <f>IF(R73=0,0,IF(AND([1]Toxicity!$AZ69&gt;0,R73&gt;[1]Toxicity!$AZ69,[1]Toxicity!$AZ69&lt;[1]Toxicity!$CA69),0,MAX(S73,[1]Toxicity!AY69,[1]Toxicity!AN69)))</f>
        <v>7.3403358898272231</v>
      </c>
      <c r="V73" s="354">
        <f t="shared" si="16"/>
        <v>7</v>
      </c>
      <c r="W73" s="355" t="str">
        <f>IF(R73=0,"NA",IF(U73=0,"NA, &gt; Solubility",IF(U73=S73,T73,IF(U73=(VLOOKUP(A73,[1]!TOX,40,FALSE)),"Groundwater Background","Water PQL"))))</f>
        <v>Cancer</v>
      </c>
    </row>
    <row r="74" spans="1:23" x14ac:dyDescent="0.25">
      <c r="A74" s="342" t="s">
        <v>223</v>
      </c>
      <c r="B74" s="356">
        <f>(VLOOKUP(A74,[1]!TOX,8,FALSE)*'[1]Target Risk'!$D$8*'GW-2 Exp'!$G$18*'GW-2 Exp'!$E$18)</f>
        <v>8.0000000000000019E-3</v>
      </c>
      <c r="C74" s="414">
        <f>IF(VLOOKUP(A74,[1]!TOX,15,FALSE)=0,0,'[1]Target Risk'!$D$12/(VLOOKUP(A74,[1]!TOX,15,FALSE))*'GW-2 Exp'!$G$26)</f>
        <v>5.0724637681159425E-3</v>
      </c>
      <c r="D74" s="356">
        <f>IF(VLOOKUP(A74,[1]!TOX,15,FALSE)=0,0,IF(VLOOKUP(A74,[1]!TOX,36,FALSE)="M",'[1]Target Risk'!$D$12/((VLOOKUP(A74,[1]!TOX,15,FALSE))*(1*('GW-2 Exp'!$H$34))),0))</f>
        <v>0</v>
      </c>
      <c r="E74" s="415">
        <f>IF(VLOOKUP(A74,[1]!TOX,15,FALSE)=0,0,IF(VLOOKUP(A74,[1]!TOX,36,FALSE)="M",'[1]Target Risk'!$D$12/((VLOOKUP(A74,[1]!TOX,15,FALSE))*(1*('GW-2 Exp'!$H$34))),'[1]Target Risk'!$D$12/(VLOOKUP(A74,[1]!TOX,15,FALSE))*'GW-2 Exp'!$G$26))</f>
        <v>5.0724637681159425E-3</v>
      </c>
      <c r="F74" s="414">
        <f t="shared" si="14"/>
        <v>5.0724637681159425E-3</v>
      </c>
      <c r="G74" s="356" t="str">
        <f t="shared" si="15"/>
        <v>Cancer</v>
      </c>
      <c r="H74" s="437">
        <f>0.5*(VLOOKUP(A74,[1]!TOX,46,FALSE))</f>
        <v>0</v>
      </c>
      <c r="I74" s="356">
        <f t="shared" si="9"/>
        <v>5.0724637681159425E-3</v>
      </c>
      <c r="J74" s="356" t="str">
        <f t="shared" si="10"/>
        <v>Cancer</v>
      </c>
      <c r="K74" s="429">
        <f>(VLOOKUP(A74,[1]!TOX,41,FALSE))</f>
        <v>0</v>
      </c>
      <c r="L74" s="414">
        <f t="shared" si="11"/>
        <v>5.0724637681159425E-3</v>
      </c>
      <c r="M74" s="435" t="str">
        <f t="shared" si="12"/>
        <v>Cancer</v>
      </c>
      <c r="N74" s="425">
        <f>IF(O74=0,0,(VLOOKUP(A74,[2]!CCalcs,12,FALSE)))</f>
        <v>6.5504911336640177E-4</v>
      </c>
      <c r="O74" s="425">
        <f>(VLOOKUP(A74,[2]!CCalcs,4,FALSE))</f>
        <v>1.2200155247613823E-2</v>
      </c>
      <c r="P74" s="437">
        <v>1000</v>
      </c>
      <c r="Q74" s="437">
        <v>1</v>
      </c>
      <c r="R74" s="425">
        <f t="shared" si="13"/>
        <v>0.63471641964912251</v>
      </c>
      <c r="S74" s="414">
        <f>IF(R74=0,0,IF(VLOOKUP(A74,[1]!TOX,52,FALSE)=0,MIN(VLOOKUP(A74,[1]!TOX,79,FALSE),R74),MIN(VLOOKUP(A74,[1]!TOX,79,FALSE),R74,(VLOOKUP(A74,[1]!TOX,52,FALSE)))))</f>
        <v>0.63471641964912251</v>
      </c>
      <c r="T74" s="435" t="str">
        <f>IF(R74=0,0,IF(R74=S74,M74,IF(S74=(VLOOKUP(A74,[1]!TOX,52,FALSE)),"Greater than Solubility","Ceiling Value")))</f>
        <v>Cancer</v>
      </c>
      <c r="U74" s="356">
        <f>IF(R74=0,0,IF(AND([1]Toxicity!$AZ70&gt;0,R74&gt;[1]Toxicity!$AZ70,[1]Toxicity!$AZ70&lt;[1]Toxicity!$CA70),0,MAX(S74,[1]Toxicity!AY70,[1]Toxicity!AN70)))</f>
        <v>1</v>
      </c>
      <c r="V74" s="354">
        <f t="shared" si="16"/>
        <v>1</v>
      </c>
      <c r="W74" s="355" t="str">
        <f>IF(R74=0,"NA",IF(U74=0,"NA, &gt; Solubility",IF(U74=S74,T74,IF(U74=(VLOOKUP(A74,[1]!TOX,40,FALSE)),"Groundwater Background","Water PQL"))))</f>
        <v>Water PQL</v>
      </c>
    </row>
    <row r="75" spans="1:23" x14ac:dyDescent="0.25">
      <c r="A75" s="342" t="s">
        <v>224</v>
      </c>
      <c r="B75" s="356">
        <f>(VLOOKUP(A75,[1]!TOX,8,FALSE)*'[1]Target Risk'!$D$8*'GW-2 Exp'!$G$18*'GW-2 Exp'!$E$18)</f>
        <v>0.8</v>
      </c>
      <c r="C75" s="414">
        <f>IF(VLOOKUP(A75,[1]!TOX,15,FALSE)=0,0,'[1]Target Risk'!$D$12/(VLOOKUP(A75,[1]!TOX,15,FALSE))*'GW-2 Exp'!$G$26)</f>
        <v>0.10606060606060606</v>
      </c>
      <c r="D75" s="356">
        <f>IF(VLOOKUP(A75,[1]!TOX,15,FALSE)=0,0,IF(VLOOKUP(A75,[1]!TOX,36,FALSE)="M",'[1]Target Risk'!$D$12/((VLOOKUP(A75,[1]!TOX,15,FALSE))*(1*('GW-2 Exp'!$H$34))),0))</f>
        <v>0</v>
      </c>
      <c r="E75" s="415">
        <f>IF(VLOOKUP(A75,[1]!TOX,15,FALSE)=0,0,IF(VLOOKUP(A75,[1]!TOX,36,FALSE)="M",'[1]Target Risk'!$D$12/((VLOOKUP(A75,[1]!TOX,15,FALSE))*(1*('GW-2 Exp'!$H$34))),'[1]Target Risk'!$D$12/(VLOOKUP(A75,[1]!TOX,15,FALSE))*'GW-2 Exp'!$G$26))</f>
        <v>0.10606060606060606</v>
      </c>
      <c r="F75" s="414">
        <f t="shared" si="14"/>
        <v>0.10606060606060606</v>
      </c>
      <c r="G75" s="356" t="str">
        <f t="shared" si="15"/>
        <v>Cancer</v>
      </c>
      <c r="H75" s="437">
        <f>0.5*(VLOOKUP(A75,[1]!TOX,46,FALSE))</f>
        <v>6000</v>
      </c>
      <c r="I75" s="356">
        <f t="shared" si="9"/>
        <v>0.10606060606060606</v>
      </c>
      <c r="J75" s="356" t="str">
        <f t="shared" si="10"/>
        <v>Cancer</v>
      </c>
      <c r="K75" s="429">
        <f>(VLOOKUP(A75,[1]!TOX,41,FALSE))</f>
        <v>4.5999999999999996</v>
      </c>
      <c r="L75" s="414">
        <f t="shared" si="11"/>
        <v>4.5999999999999996</v>
      </c>
      <c r="M75" s="435" t="str">
        <f t="shared" si="12"/>
        <v>Background Indoor Air</v>
      </c>
      <c r="N75" s="425">
        <f>IF(O75=0,0,(VLOOKUP(A75,[2]!CCalcs,12,FALSE)))</f>
        <v>6.5776915042465754E-4</v>
      </c>
      <c r="O75" s="425">
        <f>(VLOOKUP(A75,[2]!CCalcs,4,FALSE))</f>
        <v>0.14225147573956531</v>
      </c>
      <c r="P75" s="437">
        <v>1000</v>
      </c>
      <c r="Q75" s="437">
        <v>1</v>
      </c>
      <c r="R75" s="425">
        <f t="shared" si="13"/>
        <v>49.161774461924971</v>
      </c>
      <c r="S75" s="414">
        <f>IF(R75=0,0,IF(VLOOKUP(A75,[1]!TOX,52,FALSE)=0,MIN(VLOOKUP(A75,[1]!TOX,79,FALSE),R75),MIN(VLOOKUP(A75,[1]!TOX,79,FALSE),R75,(VLOOKUP(A75,[1]!TOX,52,FALSE)))))</f>
        <v>49.161774461924971</v>
      </c>
      <c r="T75" s="435" t="str">
        <f>IF(R75=0,0,IF(R75=S75,M75,IF(S75=(VLOOKUP(A75,[1]!TOX,52,FALSE)),"Greater than Solubility","Ceiling Value")))</f>
        <v>Background Indoor Air</v>
      </c>
      <c r="U75" s="356">
        <f>IF(R75=0,0,IF(AND([1]Toxicity!$AZ71&gt;0,R75&gt;[1]Toxicity!$AZ71,[1]Toxicity!$AZ71&lt;[1]Toxicity!$CA71),0,MAX(S75,[1]Toxicity!AY71,[1]Toxicity!AN71)))</f>
        <v>49.161774461924971</v>
      </c>
      <c r="V75" s="354">
        <f t="shared" si="16"/>
        <v>50</v>
      </c>
      <c r="W75" s="355" t="str">
        <f>IF(R75=0,"NA",IF(U75=0,"NA, &gt; Solubility",IF(U75=S75,T75,IF(U75=(VLOOKUP(A75,[1]!TOX,40,FALSE)),"Groundwater Background","Water PQL"))))</f>
        <v>Background Indoor Air</v>
      </c>
    </row>
    <row r="76" spans="1:23" ht="20" x14ac:dyDescent="0.25">
      <c r="A76" s="342" t="s">
        <v>225</v>
      </c>
      <c r="B76" s="356">
        <f>(VLOOKUP(A76,[1]!TOX,8,FALSE)*'[1]Target Risk'!$D$8*'GW-2 Exp'!$G$18*'GW-2 Exp'!$E$18)</f>
        <v>0.22000000000000003</v>
      </c>
      <c r="C76" s="414">
        <f>IF(VLOOKUP(A76,[1]!TOX,15,FALSE)=0,0,'[1]Target Risk'!$D$12/(VLOOKUP(A76,[1]!TOX,15,FALSE))*'GW-2 Exp'!$G$26)</f>
        <v>6.2820512820512819E-3</v>
      </c>
      <c r="D76" s="356">
        <f>IF(VLOOKUP(A76,[1]!TOX,15,FALSE)=0,0,IF(VLOOKUP(A76,[1]!TOX,36,FALSE)="M",'[1]Target Risk'!$D$12/((VLOOKUP(A76,[1]!TOX,15,FALSE))*(1*('GW-2 Exp'!$H$34))),0))</f>
        <v>0</v>
      </c>
      <c r="E76" s="415">
        <f>IF(VLOOKUP(A76,[1]!TOX,15,FALSE)=0,0,IF(VLOOKUP(A76,[1]!TOX,36,FALSE)="M",'[1]Target Risk'!$D$12/((VLOOKUP(A76,[1]!TOX,15,FALSE))*(1*('GW-2 Exp'!$H$34))),'[1]Target Risk'!$D$12/(VLOOKUP(A76,[1]!TOX,15,FALSE))*'GW-2 Exp'!$G$26))</f>
        <v>6.2820512820512819E-3</v>
      </c>
      <c r="F76" s="414">
        <f t="shared" si="14"/>
        <v>6.2820512820512819E-3</v>
      </c>
      <c r="G76" s="356" t="str">
        <f t="shared" si="15"/>
        <v>Cancer</v>
      </c>
      <c r="H76" s="437">
        <f>0.5*(VLOOKUP(A76,[1]!TOX,46,FALSE))</f>
        <v>0</v>
      </c>
      <c r="I76" s="356">
        <f t="shared" si="9"/>
        <v>6.2820512820512819E-3</v>
      </c>
      <c r="J76" s="356" t="str">
        <f t="shared" si="10"/>
        <v>Cancer</v>
      </c>
      <c r="K76" s="429">
        <f>(VLOOKUP(A76,[1]!TOX,41,FALSE))</f>
        <v>0</v>
      </c>
      <c r="L76" s="414">
        <f t="shared" si="11"/>
        <v>6.2820512820512819E-3</v>
      </c>
      <c r="M76" s="435" t="str">
        <f t="shared" si="12"/>
        <v>Cancer</v>
      </c>
      <c r="N76" s="425">
        <f>IF(O76=0,0,(VLOOKUP(A76,[2]!CCalcs,12,FALSE)))</f>
        <v>9.3146324924285378E-4</v>
      </c>
      <c r="O76" s="425">
        <f>(VLOOKUP(A76,[2]!CCalcs,4,FALSE))</f>
        <v>4.3221861024436379E-5</v>
      </c>
      <c r="P76" s="437">
        <v>1000</v>
      </c>
      <c r="Q76" s="437">
        <v>1</v>
      </c>
      <c r="R76" s="425">
        <f t="shared" si="13"/>
        <v>156.03868806803212</v>
      </c>
      <c r="S76" s="414">
        <f>IF(R76=0,0,IF(VLOOKUP(A76,[1]!TOX,52,FALSE)=0,MIN(VLOOKUP(A76,[1]!TOX,79,FALSE),R76),MIN(VLOOKUP(A76,[1]!TOX,79,FALSE),R76,(VLOOKUP(A76,[1]!TOX,52,FALSE)))))</f>
        <v>156.03868806803212</v>
      </c>
      <c r="T76" s="435" t="str">
        <f>IF(R76=0,0,IF(R76=S76,M76,IF(S76=(VLOOKUP(A76,[1]!TOX,52,FALSE)),"Greater than Solubility","Ceiling Value")))</f>
        <v>Cancer</v>
      </c>
      <c r="U76" s="356">
        <f>IF(R76=0,0,IF(AND([1]Toxicity!$AZ72&gt;0,R76&gt;[1]Toxicity!$AZ72,[1]Toxicity!$AZ72&lt;[1]Toxicity!$CA72),0,MAX(S76,[1]Toxicity!AY72,[1]Toxicity!AN72)))</f>
        <v>156.03868806803212</v>
      </c>
      <c r="V76" s="354">
        <f t="shared" si="16"/>
        <v>200</v>
      </c>
      <c r="W76" s="355" t="str">
        <f>IF(R76=0,"NA",IF(U76=0,"NA, &gt; Solubility",IF(U76=S76,T76,IF(U76=(VLOOKUP(A76,[1]!TOX,40,FALSE)),"Groundwater Background","Water PQL"))))</f>
        <v>Cancer</v>
      </c>
    </row>
    <row r="77" spans="1:23" x14ac:dyDescent="0.25">
      <c r="A77" s="342" t="s">
        <v>226</v>
      </c>
      <c r="B77" s="356">
        <f>(VLOOKUP(A77,[1]!TOX,8,FALSE)*'[1]Target Risk'!$D$8*'GW-2 Exp'!$G$18*'GW-2 Exp'!$E$18)</f>
        <v>6</v>
      </c>
      <c r="C77" s="414">
        <f>IF(VLOOKUP(A77,[1]!TOX,15,FALSE)=0,0,'[1]Target Risk'!$D$12/(VLOOKUP(A77,[1]!TOX,15,FALSE))*'GW-2 Exp'!$G$26)</f>
        <v>0.58333333333333337</v>
      </c>
      <c r="D77" s="356">
        <f>IF(VLOOKUP(A77,[1]!TOX,15,FALSE)=0,0,IF(VLOOKUP(A77,[1]!TOX,36,FALSE)="M",'[1]Target Risk'!$D$12/((VLOOKUP(A77,[1]!TOX,15,FALSE))*(1*('GW-2 Exp'!$H$34))),0))</f>
        <v>0</v>
      </c>
      <c r="E77" s="415">
        <f>IF(VLOOKUP(A77,[1]!TOX,15,FALSE)=0,0,IF(VLOOKUP(A77,[1]!TOX,36,FALSE)="M",'[1]Target Risk'!$D$12/((VLOOKUP(A77,[1]!TOX,15,FALSE))*(1*('GW-2 Exp'!$H$34))),'[1]Target Risk'!$D$12/(VLOOKUP(A77,[1]!TOX,15,FALSE))*'GW-2 Exp'!$G$26))</f>
        <v>0.58333333333333337</v>
      </c>
      <c r="F77" s="414">
        <f t="shared" si="14"/>
        <v>0.58333333333333337</v>
      </c>
      <c r="G77" s="356" t="str">
        <f t="shared" si="15"/>
        <v>Cancer</v>
      </c>
      <c r="H77" s="437">
        <f>0.5*(VLOOKUP(A77,[1]!TOX,46,FALSE))</f>
        <v>0</v>
      </c>
      <c r="I77" s="356">
        <f t="shared" si="9"/>
        <v>0.58333333333333337</v>
      </c>
      <c r="J77" s="356" t="str">
        <f t="shared" si="10"/>
        <v>Cancer</v>
      </c>
      <c r="K77" s="429">
        <f>(VLOOKUP(A77,[1]!TOX,41,FALSE))</f>
        <v>0</v>
      </c>
      <c r="L77" s="414">
        <f t="shared" si="11"/>
        <v>0.58333333333333337</v>
      </c>
      <c r="M77" s="435" t="str">
        <f t="shared" si="12"/>
        <v>Cancer</v>
      </c>
      <c r="N77" s="425">
        <f>IF(O77=0,0,(VLOOKUP(A77,[2]!CCalcs,12,FALSE)))</f>
        <v>7.1860189795953212E-5</v>
      </c>
      <c r="O77" s="425">
        <f>(VLOOKUP(A77,[2]!CCalcs,4,FALSE))</f>
        <v>5.8928164724980747E-2</v>
      </c>
      <c r="P77" s="437">
        <v>1000</v>
      </c>
      <c r="Q77" s="437">
        <v>1</v>
      </c>
      <c r="R77" s="425">
        <f t="shared" si="13"/>
        <v>137.75441237772469</v>
      </c>
      <c r="S77" s="414">
        <f>IF(R77=0,0,IF(VLOOKUP(A77,[1]!TOX,52,FALSE)=0,MIN(VLOOKUP(A77,[1]!TOX,79,FALSE),R77),MIN(VLOOKUP(A77,[1]!TOX,79,FALSE),R77,(VLOOKUP(A77,[1]!TOX,52,FALSE)))))</f>
        <v>137.75441237772469</v>
      </c>
      <c r="T77" s="435" t="str">
        <f>IF(R77=0,0,IF(R77=S77,M77,IF(S77=(VLOOKUP(A77,[1]!TOX,52,FALSE)),"Greater than Solubility","Ceiling Value")))</f>
        <v>Cancer</v>
      </c>
      <c r="U77" s="356">
        <f>IF(R77=0,0,IF(AND([1]Toxicity!$AZ73&gt;0,R77&gt;[1]Toxicity!$AZ73,[1]Toxicity!$AZ73&lt;[1]Toxicity!$CA73),0,MAX(S77,[1]Toxicity!AY73,[1]Toxicity!AN73)))</f>
        <v>137.75441237772469</v>
      </c>
      <c r="V77" s="354">
        <f t="shared" si="16"/>
        <v>100</v>
      </c>
      <c r="W77" s="355" t="str">
        <f>IF(R77=0,"NA",IF(U77=0,"NA, &gt; Solubility",IF(U77=S77,T77,IF(U77=(VLOOKUP(A77,[1]!TOX,40,FALSE)),"Groundwater Background","Water PQL"))))</f>
        <v>Cancer</v>
      </c>
    </row>
    <row r="78" spans="1:23" x14ac:dyDescent="0.25">
      <c r="A78" s="342" t="s">
        <v>432</v>
      </c>
      <c r="B78" s="356">
        <f>(VLOOKUP(A78,[1]!TOX,8,FALSE)*'[1]Target Risk'!$D$8*'GW-2 Exp'!$G$18*'GW-2 Exp'!$E$18)</f>
        <v>36</v>
      </c>
      <c r="C78" s="414">
        <f>IF(VLOOKUP(A78,[1]!TOX,15,FALSE)=0,0,'[1]Target Risk'!$D$12/(VLOOKUP(A78,[1]!TOX,15,FALSE))*'GW-2 Exp'!$G$26)</f>
        <v>0</v>
      </c>
      <c r="D78" s="356">
        <f>IF(VLOOKUP(A78,[1]!TOX,15,FALSE)=0,0,IF(VLOOKUP(A78,[1]!TOX,36,FALSE)="M",'[1]Target Risk'!$D$12/((VLOOKUP(A78,[1]!TOX,15,FALSE))*(1*('GW-2 Exp'!$H$34))),0))</f>
        <v>0</v>
      </c>
      <c r="E78" s="415">
        <f>IF(VLOOKUP(A78,[1]!TOX,15,FALSE)=0,0,IF(VLOOKUP(A78,[1]!TOX,36,FALSE)="M",'[1]Target Risk'!$D$12/((VLOOKUP(A78,[1]!TOX,15,FALSE))*(1*('GW-2 Exp'!$H$34))),'[1]Target Risk'!$D$12/(VLOOKUP(A78,[1]!TOX,15,FALSE))*'GW-2 Exp'!$G$26))</f>
        <v>0</v>
      </c>
      <c r="F78" s="414">
        <f t="shared" si="14"/>
        <v>36</v>
      </c>
      <c r="G78" s="356" t="str">
        <f t="shared" si="15"/>
        <v>Noncancer</v>
      </c>
      <c r="H78" s="437">
        <f>0.5*(VLOOKUP(A78,[1]!TOX,46,FALSE))</f>
        <v>0</v>
      </c>
      <c r="I78" s="356">
        <f>IF(F78=0,H78,IF(H78=0,F78,MIN(F78,H78)))</f>
        <v>36</v>
      </c>
      <c r="J78" s="356" t="str">
        <f>IF(I78=0,0,IF(I78=H78,"50% Odor Threshold",G78))</f>
        <v>Noncancer</v>
      </c>
      <c r="K78" s="429">
        <f>(VLOOKUP(A78,[1]!TOX,41,FALSE))</f>
        <v>0</v>
      </c>
      <c r="L78" s="414">
        <f>MAX(K78,I78)</f>
        <v>36</v>
      </c>
      <c r="M78" s="435" t="str">
        <f>IF(L78=0,0,IF(L78=K78,"Background Indoor Air",J78))</f>
        <v>Noncancer</v>
      </c>
      <c r="N78" s="425">
        <f>IF(O78=0,0,(VLOOKUP(A78,[2]!CCalcs,12,FALSE)))</f>
        <v>1.1619729000070978E-3</v>
      </c>
      <c r="O78" s="425">
        <f>(VLOOKUP(A78,[2]!CCalcs,4,FALSE))</f>
        <v>1.8656966134572292E-8</v>
      </c>
      <c r="P78" s="437">
        <v>1000</v>
      </c>
      <c r="Q78" s="437">
        <v>1</v>
      </c>
      <c r="R78" s="425">
        <f t="shared" si="13"/>
        <v>1660601699.917953</v>
      </c>
      <c r="S78" s="414">
        <f>IF(R78=0,0,IF(VLOOKUP(A78,[1]!TOX,52,FALSE)=0,MIN(VLOOKUP(A78,[1]!TOX,79,FALSE),R78),MIN(VLOOKUP(A78,[1]!TOX,79,FALSE),R78,(VLOOKUP(A78,[1]!TOX,52,FALSE)))))</f>
        <v>50000</v>
      </c>
      <c r="T78" s="435" t="str">
        <f>IF(R78=0,0,IF(R78=S78,M78,IF(S78=(VLOOKUP(A78,[1]!TOX,52,FALSE)),"Greater than Solubility","Ceiling Value")))</f>
        <v>Ceiling Value</v>
      </c>
      <c r="U78" s="356">
        <f>IF(R78=0,0,IF(AND([1]Toxicity!$AZ74&gt;0,R78&gt;[1]Toxicity!$AZ74,[1]Toxicity!$AZ74&lt;[1]Toxicity!$CA74),0,MAX(S78,[1]PQLs!C78,[1]Toxicity!AN74)))</f>
        <v>50000</v>
      </c>
      <c r="V78" s="354">
        <f t="shared" si="16"/>
        <v>50000</v>
      </c>
      <c r="W78" s="355" t="str">
        <f>IF(R78=0,"NA",IF(U78=0,"NA, &gt; Solubility",IF(U78=S78,T78,IF(U78=(VLOOKUP(A78,[1]!TOX,40,FALSE)),"Groundwater Background","Water PQL"))))</f>
        <v>Ceiling Value</v>
      </c>
    </row>
    <row r="79" spans="1:23" x14ac:dyDescent="0.25">
      <c r="A79" s="342" t="s">
        <v>227</v>
      </c>
      <c r="B79" s="356">
        <f>(VLOOKUP(A79,[1]!TOX,8,FALSE)*'[1]Target Risk'!$D$8*'GW-2 Exp'!$G$18*'GW-2 Exp'!$E$18)</f>
        <v>10.000000000000002</v>
      </c>
      <c r="C79" s="759">
        <f>IF(VLOOKUP(A79,[1]!TOX,15,FALSE)=0,0,'[1]Target Risk'!$D$12/(VLOOKUP(A79,[1]!TOX,15,FALSE))*'GW-2 Exp'!$G$26)</f>
        <v>3.888888888888889E-2</v>
      </c>
      <c r="D79" s="356">
        <f>IF(VLOOKUP(A79,[1]!TOX,15,FALSE)=0,0,IF(VLOOKUP(A79,[1]!TOX,36,FALSE)="M",'[1]Target Risk'!$D$12/((VLOOKUP(A79,[1]!TOX,15,FALSE))*(1*('GW-2 Exp'!$H$34))),0))</f>
        <v>1.5350877192982457E-2</v>
      </c>
      <c r="E79" s="415">
        <f>IF(VLOOKUP(A79,[1]!TOX,15,FALSE)=0,0,IF(VLOOKUP(A79,[1]!TOX,36,FALSE)="M",'[1]Target Risk'!$D$12/((VLOOKUP(A79,[1]!TOX,15,FALSE))*(1*('GW-2 Exp'!$H$34))),'[1]Target Risk'!$D$12/(VLOOKUP(A79,[1]!TOX,15,FALSE))*'GW-2 Exp'!$G$26))</f>
        <v>1.5350877192982457E-2</v>
      </c>
      <c r="F79" s="414">
        <f t="shared" si="14"/>
        <v>1.5350877192982457E-2</v>
      </c>
      <c r="G79" s="356" t="str">
        <f t="shared" si="15"/>
        <v>Cancer</v>
      </c>
      <c r="H79" s="437">
        <f>0.5*(VLOOKUP(A79,[1]!TOX,46,FALSE))</f>
        <v>0</v>
      </c>
      <c r="I79" s="356">
        <f t="shared" si="9"/>
        <v>1.5350877192982457E-2</v>
      </c>
      <c r="J79" s="356" t="str">
        <f t="shared" si="10"/>
        <v>Cancer</v>
      </c>
      <c r="K79" s="429">
        <f>(VLOOKUP(A79,[1]!TOX,41,FALSE))</f>
        <v>0</v>
      </c>
      <c r="L79" s="414">
        <f t="shared" si="11"/>
        <v>1.5350877192982457E-2</v>
      </c>
      <c r="M79" s="435" t="str">
        <f t="shared" si="12"/>
        <v>Cancer</v>
      </c>
      <c r="N79" s="425">
        <f>IF(O79=0,0,(VLOOKUP(A79,[2]!CCalcs,12,FALSE)))</f>
        <v>1.0642486629613688E-3</v>
      </c>
      <c r="O79" s="425">
        <f>(VLOOKUP(A79,[2]!CCalcs,4,FALSE))</f>
        <v>1.3999929658933192E-6</v>
      </c>
      <c r="P79" s="437">
        <v>1000</v>
      </c>
      <c r="Q79" s="437">
        <v>1</v>
      </c>
      <c r="R79" s="425">
        <f t="shared" si="13"/>
        <v>10303.01258932776</v>
      </c>
      <c r="S79" s="414">
        <f>IF(R79=0,0,IF(VLOOKUP(A79,[1]!TOX,52,FALSE)=0,MIN(VLOOKUP(A79,[1]!TOX,79,FALSE),R79),MIN(VLOOKUP(A79,[1]!TOX,79,FALSE),R79,(VLOOKUP(A79,[1]!TOX,52,FALSE)))))</f>
        <v>0.19</v>
      </c>
      <c r="T79" s="435" t="str">
        <f>IF(R79=0,0,IF(R79=S79,M79,IF(S79=(VLOOKUP(A79,[1]!TOX,52,FALSE)),"Greater than Solubility","Ceiling Value")))</f>
        <v>Greater than Solubility</v>
      </c>
      <c r="U79" s="356">
        <f>IF(R79=0,0,IF(AND([1]Toxicity!$AZ75&gt;0,R79&gt;[1]Toxicity!$AZ75,[1]Toxicity!$AZ75&lt;[1]Toxicity!$CA75),0,MAX(S79,[1]Toxicity!AY75,[1]Toxicity!AN75)))</f>
        <v>0</v>
      </c>
      <c r="V79" s="354"/>
      <c r="W79" s="355" t="str">
        <f>IF(R79=0,"NA",IF(U79=0,"NA, &gt; Solubility",IF(U79=S79,T79,IF(U79=(VLOOKUP(A79,[1]!TOX,40,FALSE)),"Groundwater Background","Water PQL"))))</f>
        <v>NA, &gt; Solubility</v>
      </c>
    </row>
    <row r="80" spans="1:23" x14ac:dyDescent="0.25">
      <c r="A80" s="342" t="s">
        <v>228</v>
      </c>
      <c r="B80" s="356">
        <f>(VLOOKUP(A80,[1]!TOX,8,FALSE)*'[1]Target Risk'!$D$8*'GW-2 Exp'!$G$18*'GW-2 Exp'!$E$18)</f>
        <v>0.2</v>
      </c>
      <c r="C80" s="414">
        <f>IF(VLOOKUP(A80,[1]!TOX,15,FALSE)=0,0,'[1]Target Risk'!$D$12/(VLOOKUP(A80,[1]!TOX,15,FALSE))*'GW-2 Exp'!$G$26)</f>
        <v>0</v>
      </c>
      <c r="D80" s="356">
        <f>IF(VLOOKUP(A80,[1]!TOX,15,FALSE)=0,0,IF(VLOOKUP(A80,[1]!TOX,36,FALSE)="M",'[1]Target Risk'!$D$12/((VLOOKUP(A80,[1]!TOX,15,FALSE))*(1*('GW-2 Exp'!$H$34))),0))</f>
        <v>0</v>
      </c>
      <c r="E80" s="415">
        <f>IF(VLOOKUP(A80,[1]!TOX,15,FALSE)=0,0,IF(VLOOKUP(A80,[1]!TOX,36,FALSE)="M",'[1]Target Risk'!$D$12/((VLOOKUP(A80,[1]!TOX,15,FALSE))*(1*('GW-2 Exp'!$H$34))),'[1]Target Risk'!$D$12/(VLOOKUP(A80,[1]!TOX,15,FALSE))*'GW-2 Exp'!$G$26))</f>
        <v>0</v>
      </c>
      <c r="F80" s="414">
        <f t="shared" si="14"/>
        <v>0.2</v>
      </c>
      <c r="G80" s="356" t="str">
        <f t="shared" si="15"/>
        <v>Noncancer</v>
      </c>
      <c r="H80" s="437">
        <f>0.5*(VLOOKUP(A80,[1]!TOX,46,FALSE))</f>
        <v>0</v>
      </c>
      <c r="I80" s="356">
        <f t="shared" si="9"/>
        <v>0.2</v>
      </c>
      <c r="J80" s="356" t="str">
        <f t="shared" si="10"/>
        <v>Noncancer</v>
      </c>
      <c r="K80" s="429">
        <f>(VLOOKUP(A80,[1]!TOX,41,FALSE))</f>
        <v>0</v>
      </c>
      <c r="L80" s="414">
        <f t="shared" si="11"/>
        <v>0.2</v>
      </c>
      <c r="M80" s="435" t="str">
        <f t="shared" si="12"/>
        <v>Noncancer</v>
      </c>
      <c r="N80" s="425">
        <f>IF(O80=0,0,(VLOOKUP(A80,[2]!CCalcs,12,FALSE)))</f>
        <v>0</v>
      </c>
      <c r="O80" s="425">
        <f>(VLOOKUP(A80,[2]!CCalcs,4,FALSE))</f>
        <v>0</v>
      </c>
      <c r="P80" s="437">
        <v>1000</v>
      </c>
      <c r="Q80" s="437">
        <v>1</v>
      </c>
      <c r="R80" s="425">
        <f t="shared" si="13"/>
        <v>0</v>
      </c>
      <c r="S80" s="414">
        <f>IF(R80=0,0,IF(VLOOKUP(A80,[1]!TOX,52,FALSE)=0,MIN(VLOOKUP(A80,[1]!TOX,79,FALSE),R80),MIN(VLOOKUP(A80,[1]!TOX,79,FALSE),R80,(VLOOKUP(A80,[1]!TOX,52,FALSE)))))</f>
        <v>0</v>
      </c>
      <c r="T80" s="435">
        <f>IF(R80=0,0,IF(R80=S80,M80,IF(S80=(VLOOKUP(A80,[1]!TOX,52,FALSE)),"Greater than Solubility","Ceiling Value")))</f>
        <v>0</v>
      </c>
      <c r="U80" s="356">
        <f>IF(R80=0,0,IF(AND([1]Toxicity!$AZ76&gt;0,R80&gt;[1]Toxicity!$AZ76,[1]Toxicity!$AZ76&lt;[1]Toxicity!$CA76),0,MAX(S80,[1]Toxicity!AY76,[1]Toxicity!AN76)))</f>
        <v>0</v>
      </c>
      <c r="V80" s="354">
        <f>U80</f>
        <v>0</v>
      </c>
      <c r="W80" s="355" t="str">
        <f>IF(R80=0,"NA",IF(U80=0,"NA, &gt; Solubility",IF(U80=S80,T80,IF(U80=(VLOOKUP(A80,[1]!TOX,40,FALSE)),"Groundwater Background","Water PQL"))))</f>
        <v>NA</v>
      </c>
    </row>
    <row r="81" spans="1:23" x14ac:dyDescent="0.25">
      <c r="A81" s="342" t="s">
        <v>229</v>
      </c>
      <c r="B81" s="356">
        <f>(VLOOKUP(A81,[1]!TOX,8,FALSE)*'[1]Target Risk'!$D$8*'GW-2 Exp'!$G$18*'GW-2 Exp'!$E$18)</f>
        <v>0.06</v>
      </c>
      <c r="C81" s="414">
        <f>IF(VLOOKUP(A81,[1]!TOX,15,FALSE)=0,0,'[1]Target Risk'!$D$12/(VLOOKUP(A81,[1]!TOX,15,FALSE))*'GW-2 Exp'!$G$26)</f>
        <v>0</v>
      </c>
      <c r="D81" s="356">
        <f>IF(VLOOKUP(A81,[1]!TOX,15,FALSE)=0,0,IF(VLOOKUP(A81,[1]!TOX,36,FALSE)="M",'[1]Target Risk'!$D$12/((VLOOKUP(A81,[1]!TOX,15,FALSE))*(1*('GW-2 Exp'!$H$34))),0))</f>
        <v>0</v>
      </c>
      <c r="E81" s="415">
        <f>IF(VLOOKUP(A81,[1]!TOX,15,FALSE)=0,0,IF(VLOOKUP(A81,[1]!TOX,36,FALSE)="M",'[1]Target Risk'!$D$12/((VLOOKUP(A81,[1]!TOX,15,FALSE))*(1*('GW-2 Exp'!$H$34))),'[1]Target Risk'!$D$12/(VLOOKUP(A81,[1]!TOX,15,FALSE))*'GW-2 Exp'!$G$26))</f>
        <v>0</v>
      </c>
      <c r="F81" s="414">
        <f t="shared" si="14"/>
        <v>0.06</v>
      </c>
      <c r="G81" s="356" t="str">
        <f t="shared" si="15"/>
        <v>Noncancer</v>
      </c>
      <c r="H81" s="437">
        <f>0.5*(VLOOKUP(A81,[1]!TOX,46,FALSE))</f>
        <v>0</v>
      </c>
      <c r="I81" s="356">
        <f t="shared" si="9"/>
        <v>0.06</v>
      </c>
      <c r="J81" s="356" t="str">
        <f t="shared" si="10"/>
        <v>Noncancer</v>
      </c>
      <c r="K81" s="429">
        <f>(VLOOKUP(A81,[1]!TOX,41,FALSE))</f>
        <v>0</v>
      </c>
      <c r="L81" s="414">
        <f t="shared" si="11"/>
        <v>0.06</v>
      </c>
      <c r="M81" s="435" t="str">
        <f t="shared" si="12"/>
        <v>Noncancer</v>
      </c>
      <c r="N81" s="425">
        <f>IF(O81=0,0,(VLOOKUP(A81,[2]!CCalcs,12,FALSE)))</f>
        <v>0</v>
      </c>
      <c r="O81" s="425">
        <f>(VLOOKUP(A81,[2]!CCalcs,4,FALSE))</f>
        <v>0</v>
      </c>
      <c r="P81" s="437">
        <v>1000</v>
      </c>
      <c r="Q81" s="437">
        <v>1</v>
      </c>
      <c r="R81" s="425">
        <f t="shared" si="13"/>
        <v>0</v>
      </c>
      <c r="S81" s="414">
        <f>IF(R81=0,0,IF(VLOOKUP(A81,[1]!TOX,52,FALSE)=0,MIN(VLOOKUP(A81,[1]!TOX,79,FALSE),R81),MIN(VLOOKUP(A81,[1]!TOX,79,FALSE),R81,(VLOOKUP(A81,[1]!TOX,52,FALSE)))))</f>
        <v>0</v>
      </c>
      <c r="T81" s="435">
        <f>IF(R81=0,0,IF(R81=S81,M81,IF(S81=(VLOOKUP(A81,[1]!TOX,52,FALSE)),"Greater than Solubility","Ceiling Value")))</f>
        <v>0</v>
      </c>
      <c r="U81" s="356">
        <f>IF(R81=0,0,IF(AND([1]Toxicity!$AZ77&gt;0,R81&gt;[1]Toxicity!$AZ77,[1]Toxicity!$AZ77&lt;[1]Toxicity!$CA77),0,MAX(S81,[1]Toxicity!AY77,[1]Toxicity!AN77)))</f>
        <v>0</v>
      </c>
      <c r="V81" s="354"/>
      <c r="W81" s="355" t="str">
        <f>IF(R81=0,"NA",IF(U81=0,"NA, &gt; Solubility",IF(U81=S81,T81,IF(U81=(VLOOKUP(A81,[1]!TOX,40,FALSE)),"Groundwater Background","Water PQL"))))</f>
        <v>NA</v>
      </c>
    </row>
    <row r="82" spans="1:23" x14ac:dyDescent="0.25">
      <c r="A82" s="342" t="s">
        <v>230</v>
      </c>
      <c r="B82" s="356">
        <f>(VLOOKUP(A82,[1]!TOX,8,FALSE)*'[1]Target Risk'!$D$8*'GW-2 Exp'!$G$18*'GW-2 Exp'!$E$18)</f>
        <v>3.6</v>
      </c>
      <c r="C82" s="414">
        <f>IF(VLOOKUP(A82,[1]!TOX,15,FALSE)=0,0,'[1]Target Risk'!$D$12/(VLOOKUP(A82,[1]!TOX,15,FALSE))*'GW-2 Exp'!$G$26)</f>
        <v>0</v>
      </c>
      <c r="D82" s="356">
        <f>IF(VLOOKUP(A82,[1]!TOX,15,FALSE)=0,0,IF(VLOOKUP(A82,[1]!TOX,36,FALSE)="M",'[1]Target Risk'!$D$12/((VLOOKUP(A82,[1]!TOX,15,FALSE))*(1*('GW-2 Exp'!$H$34))),0))</f>
        <v>0</v>
      </c>
      <c r="E82" s="415">
        <f>IF(VLOOKUP(A82,[1]!TOX,15,FALSE)=0,0,IF(VLOOKUP(A82,[1]!TOX,36,FALSE)="M",'[1]Target Risk'!$D$12/((VLOOKUP(A82,[1]!TOX,15,FALSE))*(1*('GW-2 Exp'!$H$34))),'[1]Target Risk'!$D$12/(VLOOKUP(A82,[1]!TOX,15,FALSE))*'GW-2 Exp'!$G$26))</f>
        <v>0</v>
      </c>
      <c r="F82" s="414">
        <f t="shared" si="14"/>
        <v>3.6</v>
      </c>
      <c r="G82" s="356" t="str">
        <f t="shared" si="15"/>
        <v>Noncancer</v>
      </c>
      <c r="H82" s="437">
        <f>0.5*(VLOOKUP(A82,[1]!TOX,46,FALSE))</f>
        <v>0</v>
      </c>
      <c r="I82" s="356">
        <f t="shared" si="9"/>
        <v>3.6</v>
      </c>
      <c r="J82" s="356" t="str">
        <f t="shared" si="10"/>
        <v>Noncancer</v>
      </c>
      <c r="K82" s="429">
        <f>(VLOOKUP(A82,[1]!TOX,41,FALSE))</f>
        <v>0</v>
      </c>
      <c r="L82" s="414">
        <f t="shared" si="11"/>
        <v>3.6</v>
      </c>
      <c r="M82" s="435" t="str">
        <f t="shared" si="12"/>
        <v>Noncancer</v>
      </c>
      <c r="N82" s="425">
        <f>IF(O82=0,0,(VLOOKUP(A82,[2]!CCalcs,12,FALSE)))</f>
        <v>1.046396719046507E-3</v>
      </c>
      <c r="O82" s="425">
        <f>(VLOOKUP(A82,[2]!CCalcs,4,FALSE))</f>
        <v>1.2722883068058559E-6</v>
      </c>
      <c r="P82" s="437">
        <v>1000</v>
      </c>
      <c r="Q82" s="437">
        <v>1</v>
      </c>
      <c r="R82" s="425">
        <f t="shared" si="13"/>
        <v>2704086.598349669</v>
      </c>
      <c r="S82" s="414">
        <f>IF(R82=0,0,IF(VLOOKUP(A82,[1]!TOX,52,FALSE)=0,MIN(VLOOKUP(A82,[1]!TOX,79,FALSE),R82),MIN(VLOOKUP(A82,[1]!TOX,79,FALSE),R82,(VLOOKUP(A82,[1]!TOX,52,FALSE)))))</f>
        <v>100</v>
      </c>
      <c r="T82" s="435" t="str">
        <f>IF(R82=0,0,IF(R82=S82,M82,IF(S82=(VLOOKUP(A82,[1]!TOX,52,FALSE)),"Greater than Solubility","Ceiling Value")))</f>
        <v>Greater than Solubility</v>
      </c>
      <c r="U82" s="356">
        <f>IF(R82=0,0,IF(AND([1]Toxicity!$AZ78&gt;0,R82&gt;[1]Toxicity!$AZ78,[1]Toxicity!$AZ78&lt;[1]Toxicity!$CA78),0,MAX(S82,[1]Toxicity!AY78,[1]Toxicity!AN78)))</f>
        <v>0</v>
      </c>
      <c r="V82" s="354"/>
      <c r="W82" s="355" t="str">
        <f>IF(R82=0,"NA",IF(U82=0,"NA, &gt; Solubility",IF(U82=S82,T82,IF(U82=(VLOOKUP(A82,[1]!TOX,40,FALSE)),"Groundwater Background","Water PQL"))))</f>
        <v>NA, &gt; Solubility</v>
      </c>
    </row>
    <row r="83" spans="1:23" x14ac:dyDescent="0.25">
      <c r="A83" s="342" t="s">
        <v>231</v>
      </c>
      <c r="B83" s="356">
        <f>(VLOOKUP(A83,[1]!TOX,8,FALSE)*'[1]Target Risk'!$D$8*'GW-2 Exp'!$G$18*'GW-2 Exp'!$E$18)</f>
        <v>1000</v>
      </c>
      <c r="C83" s="414">
        <f>IF(VLOOKUP(A83,[1]!TOX,15,FALSE)=0,0,'[1]Target Risk'!$D$12/(VLOOKUP(A83,[1]!TOX,15,FALSE))*'GW-2 Exp'!$G$26)</f>
        <v>0</v>
      </c>
      <c r="D83" s="356">
        <f>IF(VLOOKUP(A83,[1]!TOX,15,FALSE)=0,0,IF(VLOOKUP(A83,[1]!TOX,36,FALSE)="M",'[1]Target Risk'!$D$12/((VLOOKUP(A83,[1]!TOX,15,FALSE))*(1*('GW-2 Exp'!$H$34))),0))</f>
        <v>0</v>
      </c>
      <c r="E83" s="415">
        <f>IF(VLOOKUP(A83,[1]!TOX,15,FALSE)=0,0,IF(VLOOKUP(A83,[1]!TOX,36,FALSE)="M",'[1]Target Risk'!$D$12/((VLOOKUP(A83,[1]!TOX,15,FALSE))*(1*('GW-2 Exp'!$H$34))),'[1]Target Risk'!$D$12/(VLOOKUP(A83,[1]!TOX,15,FALSE))*'GW-2 Exp'!$G$26))</f>
        <v>0</v>
      </c>
      <c r="F83" s="414">
        <f t="shared" si="14"/>
        <v>1000</v>
      </c>
      <c r="G83" s="356" t="str">
        <f t="shared" si="15"/>
        <v>Noncancer</v>
      </c>
      <c r="H83" s="437">
        <f>0.5*(VLOOKUP(A83,[1]!TOX,46,FALSE))</f>
        <v>16000</v>
      </c>
      <c r="I83" s="356">
        <f t="shared" si="9"/>
        <v>1000</v>
      </c>
      <c r="J83" s="356" t="str">
        <f t="shared" si="10"/>
        <v>Noncancer</v>
      </c>
      <c r="K83" s="429">
        <f>(VLOOKUP(A83,[1]!TOX,41,FALSE))</f>
        <v>12</v>
      </c>
      <c r="L83" s="414">
        <f t="shared" si="11"/>
        <v>1000</v>
      </c>
      <c r="M83" s="435" t="str">
        <f t="shared" si="12"/>
        <v>Noncancer</v>
      </c>
      <c r="N83" s="425">
        <f>IF(O83=0,0,(VLOOKUP(A83,[2]!CCalcs,12,FALSE)))</f>
        <v>8.2970745866840561E-4</v>
      </c>
      <c r="O83" s="425">
        <f>(VLOOKUP(A83,[2]!CCalcs,4,FALSE))</f>
        <v>1.1335796833287233E-3</v>
      </c>
      <c r="P83" s="437">
        <v>1000</v>
      </c>
      <c r="Q83" s="437">
        <v>1</v>
      </c>
      <c r="R83" s="425">
        <f t="shared" si="13"/>
        <v>1063219.5464339929</v>
      </c>
      <c r="S83" s="414">
        <f>IF(R83=0,0,IF(VLOOKUP(A83,[1]!TOX,52,FALSE)=0,MIN(VLOOKUP(A83,[1]!TOX,79,FALSE),R83),MIN(VLOOKUP(A83,[1]!TOX,79,FALSE),R83,(VLOOKUP(A83,[1]!TOX,52,FALSE)))))</f>
        <v>50000</v>
      </c>
      <c r="T83" s="435" t="str">
        <f>IF(R83=0,0,IF(R83=S83,M83,IF(S83=(VLOOKUP(A83,[1]!TOX,52,FALSE)),"Greater than Solubility","Ceiling Value")))</f>
        <v>Ceiling Value</v>
      </c>
      <c r="U83" s="356">
        <f>IF(R83=0,0,IF(AND([1]Toxicity!$AZ79&gt;0,R83&gt;[1]Toxicity!$AZ79,[1]Toxicity!$AZ79&lt;[1]Toxicity!$CA79),0,MAX(S83,[1]Toxicity!AY79,[1]Toxicity!AN79)))</f>
        <v>50000</v>
      </c>
      <c r="V83" s="354">
        <f>ROUND(U83,-INT(LOG10(ABS(U83))))</f>
        <v>50000</v>
      </c>
      <c r="W83" s="355" t="str">
        <f>IF(R83=0,"NA",IF(U83=0,"NA, &gt; Solubility",IF(U83=S83,T83,IF(U83=(VLOOKUP(A83,[1]!TOX,40,FALSE)),"Groundwater Background","Water PQL"))))</f>
        <v>Ceiling Value</v>
      </c>
    </row>
    <row r="84" spans="1:23" x14ac:dyDescent="0.25">
      <c r="A84" s="342" t="s">
        <v>232</v>
      </c>
      <c r="B84" s="356">
        <f>(VLOOKUP(A84,[1]!TOX,8,FALSE)*'[1]Target Risk'!$D$8*'GW-2 Exp'!$G$18*'GW-2 Exp'!$E$18)</f>
        <v>600.00000000000011</v>
      </c>
      <c r="C84" s="414">
        <f>IF(VLOOKUP(A84,[1]!TOX,15,FALSE)=0,0,'[1]Target Risk'!$D$12/(VLOOKUP(A84,[1]!TOX,15,FALSE))*'GW-2 Exp'!$G$26)</f>
        <v>0</v>
      </c>
      <c r="D84" s="356">
        <f>IF(VLOOKUP(A84,[1]!TOX,15,FALSE)=0,0,IF(VLOOKUP(A84,[1]!TOX,36,FALSE)="M",'[1]Target Risk'!$D$12/((VLOOKUP(A84,[1]!TOX,15,FALSE))*(1*('GW-2 Exp'!$H$34))),0))</f>
        <v>0</v>
      </c>
      <c r="E84" s="415">
        <f>IF(VLOOKUP(A84,[1]!TOX,15,FALSE)=0,0,IF(VLOOKUP(A84,[1]!TOX,36,FALSE)="M",'[1]Target Risk'!$D$12/((VLOOKUP(A84,[1]!TOX,15,FALSE))*(1*('GW-2 Exp'!$H$34))),'[1]Target Risk'!$D$12/(VLOOKUP(A84,[1]!TOX,15,FALSE))*'GW-2 Exp'!$G$26))</f>
        <v>0</v>
      </c>
      <c r="F84" s="414">
        <f t="shared" si="14"/>
        <v>600.00000000000011</v>
      </c>
      <c r="G84" s="356" t="str">
        <f t="shared" si="15"/>
        <v>Noncancer</v>
      </c>
      <c r="H84" s="437">
        <f>0.5*(VLOOKUP(A84,[1]!TOX,46,FALSE))</f>
        <v>4850</v>
      </c>
      <c r="I84" s="356">
        <f t="shared" si="9"/>
        <v>600.00000000000011</v>
      </c>
      <c r="J84" s="356" t="str">
        <f t="shared" si="10"/>
        <v>Noncancer</v>
      </c>
      <c r="K84" s="429">
        <f>(VLOOKUP(A84,[1]!TOX,41,FALSE))</f>
        <v>2.2000000000000002</v>
      </c>
      <c r="L84" s="414">
        <f t="shared" si="11"/>
        <v>600.00000000000011</v>
      </c>
      <c r="M84" s="435" t="str">
        <f t="shared" si="12"/>
        <v>Noncancer</v>
      </c>
      <c r="N84" s="425">
        <f>IF(O84=0,0,(VLOOKUP(A84,[2]!CCalcs,12,FALSE)))</f>
        <v>7.722525460942735E-4</v>
      </c>
      <c r="O84" s="425">
        <f>(VLOOKUP(A84,[2]!CCalcs,4,FALSE))</f>
        <v>2.3615080246531784E-3</v>
      </c>
      <c r="P84" s="437">
        <v>1000</v>
      </c>
      <c r="Q84" s="437">
        <v>1</v>
      </c>
      <c r="R84" s="425">
        <f t="shared" si="13"/>
        <v>329004.98313508416</v>
      </c>
      <c r="S84" s="414">
        <f>IF(R84=0,0,IF(VLOOKUP(A84,[1]!TOX,52,FALSE)=0,MIN(VLOOKUP(A84,[1]!TOX,79,FALSE),R84),MIN(VLOOKUP(A84,[1]!TOX,79,FALSE),R84,(VLOOKUP(A84,[1]!TOX,52,FALSE)))))</f>
        <v>50000</v>
      </c>
      <c r="T84" s="435" t="str">
        <f>IF(R84=0,0,IF(R84=S84,M84,IF(S84=(VLOOKUP(A84,[1]!TOX,52,FALSE)),"Greater than Solubility","Ceiling Value")))</f>
        <v>Ceiling Value</v>
      </c>
      <c r="U84" s="356">
        <f>IF(R84=0,0,IF(AND([1]Toxicity!$AZ80&gt;0,R84&gt;[1]Toxicity!$AZ80,[1]Toxicity!$AZ80&lt;[1]Toxicity!$CA80),0,MAX(S84,[1]Toxicity!AY80,[1]Toxicity!AN80)))</f>
        <v>50000</v>
      </c>
      <c r="V84" s="354">
        <f>ROUND(U84,-INT(LOG10(ABS(U84))))</f>
        <v>50000</v>
      </c>
      <c r="W84" s="355" t="str">
        <f>IF(R84=0,"NA",IF(U84=0,"NA, &gt; Solubility",IF(U84=S84,T84,IF(U84=(VLOOKUP(A84,[1]!TOX,40,FALSE)),"Groundwater Background","Water PQL"))))</f>
        <v>Ceiling Value</v>
      </c>
    </row>
    <row r="85" spans="1:23" x14ac:dyDescent="0.25">
      <c r="A85" s="342" t="s">
        <v>233</v>
      </c>
      <c r="B85" s="356">
        <f>(VLOOKUP(A85,[1]!TOX,8,FALSE)*'[1]Target Risk'!$D$8*'GW-2 Exp'!$G$18*'GW-2 Exp'!$E$18)</f>
        <v>4.000000000000001E-3</v>
      </c>
      <c r="C85" s="414">
        <f>IF(VLOOKUP(A85,[1]!TOX,15,FALSE)=0,0,'[1]Target Risk'!$D$12/(VLOOKUP(A85,[1]!TOX,15,FALSE))*'GW-2 Exp'!$G$26)</f>
        <v>0</v>
      </c>
      <c r="D85" s="356">
        <f>IF(VLOOKUP(A85,[1]!TOX,15,FALSE)=0,0,IF(VLOOKUP(A85,[1]!TOX,36,FALSE)="M",'[1]Target Risk'!$D$12/((VLOOKUP(A85,[1]!TOX,15,FALSE))*(1*('GW-2 Exp'!$H$34))),0))</f>
        <v>0</v>
      </c>
      <c r="E85" s="415">
        <f>IF(VLOOKUP(A85,[1]!TOX,15,FALSE)=0,0,IF(VLOOKUP(A85,[1]!TOX,36,FALSE)="M",'[1]Target Risk'!$D$12/((VLOOKUP(A85,[1]!TOX,15,FALSE))*(1*('GW-2 Exp'!$H$34))),'[1]Target Risk'!$D$12/(VLOOKUP(A85,[1]!TOX,15,FALSE))*'GW-2 Exp'!$G$26))</f>
        <v>0</v>
      </c>
      <c r="F85" s="414">
        <f t="shared" si="14"/>
        <v>4.000000000000001E-3</v>
      </c>
      <c r="G85" s="356" t="str">
        <f t="shared" si="15"/>
        <v>Noncancer</v>
      </c>
      <c r="H85" s="437">
        <f>0.5*(VLOOKUP(A85,[1]!TOX,46,FALSE))</f>
        <v>0</v>
      </c>
      <c r="I85" s="356">
        <f t="shared" si="9"/>
        <v>4.000000000000001E-3</v>
      </c>
      <c r="J85" s="356" t="str">
        <f t="shared" si="10"/>
        <v>Noncancer</v>
      </c>
      <c r="K85" s="429">
        <f>(VLOOKUP(A85,[1]!TOX,41,FALSE))</f>
        <v>0</v>
      </c>
      <c r="L85" s="414">
        <f t="shared" si="11"/>
        <v>4.000000000000001E-3</v>
      </c>
      <c r="M85" s="435" t="str">
        <f t="shared" si="12"/>
        <v>Noncancer</v>
      </c>
      <c r="N85" s="425">
        <f>IF(O85=0,0,(VLOOKUP(A85,[2]!CCalcs,12,FALSE)))</f>
        <v>0</v>
      </c>
      <c r="O85" s="425">
        <f>(VLOOKUP(A85,[2]!CCalcs,4,FALSE))</f>
        <v>0</v>
      </c>
      <c r="P85" s="437">
        <v>1000</v>
      </c>
      <c r="Q85" s="437">
        <v>1</v>
      </c>
      <c r="R85" s="425">
        <f t="shared" si="13"/>
        <v>0</v>
      </c>
      <c r="S85" s="414">
        <f>IF(R85=0,0,IF(VLOOKUP(A85,[1]!TOX,52,FALSE)=0,MIN(VLOOKUP(A85,[1]!TOX,79,FALSE),R85),MIN(VLOOKUP(A85,[1]!TOX,79,FALSE),R85,(VLOOKUP(A85,[1]!TOX,52,FALSE)))))</f>
        <v>0</v>
      </c>
      <c r="T85" s="435">
        <f>IF(R85=0,0,IF(R85=S85,M85,IF(S85=(VLOOKUP(A85,[1]!TOX,52,FALSE)),"Greater than Solubility","Ceiling Value")))</f>
        <v>0</v>
      </c>
      <c r="U85" s="356">
        <f>IF(R85=0,0,IF(AND([1]Toxicity!$AZ81&gt;0,R85&gt;[1]Toxicity!$AZ81,[1]Toxicity!$AZ81&lt;[1]Toxicity!$CA81),0,MAX(S85,[1]Toxicity!AY81,[1]Toxicity!AN81)))</f>
        <v>0</v>
      </c>
      <c r="V85" s="354"/>
      <c r="W85" s="355" t="str">
        <f>IF(R85=0,"NA",IF(U85=0,"NA, &gt; Solubility",IF(U85=S85,T85,IF(U85=(VLOOKUP(A85,[1]!TOX,40,FALSE)),"Groundwater Background","Water PQL"))))</f>
        <v>NA</v>
      </c>
    </row>
    <row r="86" spans="1:23" x14ac:dyDescent="0.25">
      <c r="A86" s="342" t="s">
        <v>234</v>
      </c>
      <c r="B86" s="356">
        <f>(VLOOKUP(A86,[1]!TOX,8,FALSE)*'[1]Target Risk'!$D$8*'GW-2 Exp'!$G$18*'GW-2 Exp'!$E$18)</f>
        <v>600.00000000000011</v>
      </c>
      <c r="C86" s="414">
        <f>IF(VLOOKUP(A86,[1]!TOX,15,FALSE)=0,0,'[1]Target Risk'!$D$12/(VLOOKUP(A86,[1]!TOX,15,FALSE))*'GW-2 Exp'!$G$26)</f>
        <v>0</v>
      </c>
      <c r="D86" s="356">
        <f>IF(VLOOKUP(A86,[1]!TOX,15,FALSE)=0,0,IF(VLOOKUP(A86,[1]!TOX,36,FALSE)="M",'[1]Target Risk'!$D$12/((VLOOKUP(A86,[1]!TOX,15,FALSE))*(1*('GW-2 Exp'!$H$34))),0))</f>
        <v>0</v>
      </c>
      <c r="E86" s="415">
        <f>IF(VLOOKUP(A86,[1]!TOX,15,FALSE)=0,0,IF(VLOOKUP(A86,[1]!TOX,36,FALSE)="M",'[1]Target Risk'!$D$12/((VLOOKUP(A86,[1]!TOX,15,FALSE))*(1*('GW-2 Exp'!$H$34))),'[1]Target Risk'!$D$12/(VLOOKUP(A86,[1]!TOX,15,FALSE))*'GW-2 Exp'!$G$26))</f>
        <v>0</v>
      </c>
      <c r="F86" s="414">
        <f t="shared" si="14"/>
        <v>600.00000000000011</v>
      </c>
      <c r="G86" s="356" t="str">
        <f t="shared" si="15"/>
        <v>Noncancer</v>
      </c>
      <c r="H86" s="437">
        <f>0.5*(VLOOKUP(A86,[1]!TOX,46,FALSE))</f>
        <v>0</v>
      </c>
      <c r="I86" s="356">
        <f t="shared" si="9"/>
        <v>600.00000000000011</v>
      </c>
      <c r="J86" s="356" t="str">
        <f t="shared" si="10"/>
        <v>Noncancer</v>
      </c>
      <c r="K86" s="429">
        <f>(VLOOKUP(A86,[1]!TOX,41,FALSE))</f>
        <v>39</v>
      </c>
      <c r="L86" s="414">
        <f t="shared" si="11"/>
        <v>600.00000000000011</v>
      </c>
      <c r="M86" s="435" t="str">
        <f t="shared" si="12"/>
        <v>Noncancer</v>
      </c>
      <c r="N86" s="425">
        <f>IF(O86=0,0,(VLOOKUP(A86,[2]!CCalcs,12,FALSE)))</f>
        <v>1.0705749994859779E-4</v>
      </c>
      <c r="O86" s="425">
        <f>(VLOOKUP(A86,[2]!CCalcs,4,FALSE))</f>
        <v>1.2522921006517258E-2</v>
      </c>
      <c r="P86" s="437">
        <v>1000</v>
      </c>
      <c r="Q86" s="437">
        <v>1</v>
      </c>
      <c r="R86" s="425">
        <f t="shared" si="13"/>
        <v>447536.55238556984</v>
      </c>
      <c r="S86" s="414">
        <f>IF(R86=0,0,IF(VLOOKUP(A86,[1]!TOX,52,FALSE)=0,MIN(VLOOKUP(A86,[1]!TOX,79,FALSE),R86),MIN(VLOOKUP(A86,[1]!TOX,79,FALSE),R86,(VLOOKUP(A86,[1]!TOX,52,FALSE)))))</f>
        <v>50000</v>
      </c>
      <c r="T86" s="435" t="str">
        <f>IF(R86=0,0,IF(R86=S86,M86,IF(S86=(VLOOKUP(A86,[1]!TOX,52,FALSE)),"Greater than Solubility","Ceiling Value")))</f>
        <v>Ceiling Value</v>
      </c>
      <c r="U86" s="356">
        <f>IF(R86=0,0,IF(AND([1]Toxicity!$AZ82&gt;0,R86&gt;[1]Toxicity!$AZ82,[1]Toxicity!$AZ82&lt;[1]Toxicity!$CA82),0,MAX(S86,[1]Toxicity!AY82,[1]Toxicity!AN82)))</f>
        <v>50000</v>
      </c>
      <c r="V86" s="354">
        <f>ROUND(U86,-INT(LOG10(ABS(U86))))</f>
        <v>50000</v>
      </c>
      <c r="W86" s="355" t="str">
        <f>IF(R86=0,"NA",IF(U86=0,"NA, &gt; Solubility",IF(U86=S86,T86,IF(U86=(VLOOKUP(A86,[1]!TOX,40,FALSE)),"Groundwater Background","Water PQL"))))</f>
        <v>Ceiling Value</v>
      </c>
    </row>
    <row r="87" spans="1:23" x14ac:dyDescent="0.25">
      <c r="A87" s="342" t="s">
        <v>235</v>
      </c>
      <c r="B87" s="356">
        <f>(VLOOKUP(A87,[1]!TOX,8,FALSE)*'[1]Target Risk'!$D$8*'GW-2 Exp'!$G$18*'GW-2 Exp'!$E$18)</f>
        <v>10.000000000000002</v>
      </c>
      <c r="C87" s="414">
        <f>IF(VLOOKUP(A87,[1]!TOX,15,FALSE)=0,0,'[1]Target Risk'!$D$12/(VLOOKUP(A87,[1]!TOX,15,FALSE))*'GW-2 Exp'!$G$26)</f>
        <v>0</v>
      </c>
      <c r="D87" s="356">
        <f>IF(VLOOKUP(A87,[1]!TOX,15,FALSE)=0,0,IF(VLOOKUP(A87,[1]!TOX,36,FALSE)="M",'[1]Target Risk'!$D$12/((VLOOKUP(A87,[1]!TOX,15,FALSE))*(1*('GW-2 Exp'!$H$34))),0))</f>
        <v>0</v>
      </c>
      <c r="E87" s="415">
        <f>IF(VLOOKUP(A87,[1]!TOX,15,FALSE)=0,0,IF(VLOOKUP(A87,[1]!TOX,36,FALSE)="M",'[1]Target Risk'!$D$12/((VLOOKUP(A87,[1]!TOX,15,FALSE))*(1*('GW-2 Exp'!$H$34))),'[1]Target Risk'!$D$12/(VLOOKUP(A87,[1]!TOX,15,FALSE))*'GW-2 Exp'!$G$26))</f>
        <v>0</v>
      </c>
      <c r="F87" s="414">
        <f t="shared" si="14"/>
        <v>10.000000000000002</v>
      </c>
      <c r="G87" s="356" t="str">
        <f t="shared" si="15"/>
        <v>Noncancer</v>
      </c>
      <c r="H87" s="437">
        <f>0.5*(VLOOKUP(A87,[1]!TOX,46,FALSE))</f>
        <v>34</v>
      </c>
      <c r="I87" s="356">
        <f t="shared" si="9"/>
        <v>10.000000000000002</v>
      </c>
      <c r="J87" s="356" t="str">
        <f t="shared" si="10"/>
        <v>Noncancer</v>
      </c>
      <c r="K87" s="429">
        <f>(VLOOKUP(A87,[1]!TOX,41,FALSE))</f>
        <v>1.74</v>
      </c>
      <c r="L87" s="414">
        <f t="shared" si="11"/>
        <v>10.000000000000002</v>
      </c>
      <c r="M87" s="435" t="str">
        <f t="shared" si="12"/>
        <v>Noncancer</v>
      </c>
      <c r="N87" s="425">
        <f>IF(O87=0,0,(VLOOKUP(A87,[2]!CCalcs,12,FALSE)))</f>
        <v>7.0478130694887119E-4</v>
      </c>
      <c r="O87" s="425">
        <f>(VLOOKUP(A87,[2]!CCalcs,4,FALSE))</f>
        <v>6.4015331792098605E-3</v>
      </c>
      <c r="P87" s="437">
        <v>1000</v>
      </c>
      <c r="Q87" s="437">
        <v>1</v>
      </c>
      <c r="R87" s="425">
        <f t="shared" si="13"/>
        <v>2216.4688009114002</v>
      </c>
      <c r="S87" s="414">
        <f>IF(R87=0,0,IF(VLOOKUP(A87,[1]!TOX,52,FALSE)=0,MIN(VLOOKUP(A87,[1]!TOX,79,FALSE),R87),MIN(VLOOKUP(A87,[1]!TOX,79,FALSE),R87,(VLOOKUP(A87,[1]!TOX,52,FALSE)))))</f>
        <v>2216.4688009114002</v>
      </c>
      <c r="T87" s="435" t="str">
        <f>IF(R87=0,0,IF(R87=S87,M87,IF(S87=(VLOOKUP(A87,[1]!TOX,52,FALSE)),"Greater than Solubility","Ceiling Value")))</f>
        <v>Noncancer</v>
      </c>
      <c r="U87" s="356">
        <f>IF(R87=0,0,IF(AND([1]Toxicity!$AZ83&gt;0,R87&gt;[1]Toxicity!$AZ83,[1]Toxicity!$AZ83&lt;[1]Toxicity!$CA83),0,MAX(S87,[1]Toxicity!AY83,[1]Toxicity!AN83)))</f>
        <v>2216.4688009114002</v>
      </c>
      <c r="V87" s="354">
        <f>ROUND(U87,-INT(LOG10(ABS(U87))))</f>
        <v>2000</v>
      </c>
      <c r="W87" s="355" t="str">
        <f>IF(R87=0,"NA",IF(U87=0,"NA, &gt; Solubility",IF(U87=S87,T87,IF(U87=(VLOOKUP(A87,[1]!TOX,40,FALSE)),"Groundwater Background","Water PQL"))))</f>
        <v>Noncancer</v>
      </c>
    </row>
    <row r="88" spans="1:23" x14ac:dyDescent="0.25">
      <c r="A88" s="342" t="s">
        <v>236</v>
      </c>
      <c r="B88" s="356">
        <f>(VLOOKUP(A88,[1]!TOX,8,FALSE)*'[1]Target Risk'!$D$8*'GW-2 Exp'!$G$18*'GW-2 Exp'!$E$18)</f>
        <v>0.60000000000000009</v>
      </c>
      <c r="C88" s="414">
        <f>IF(VLOOKUP(A88,[1]!TOX,15,FALSE)=0,0,'[1]Target Risk'!$D$12/(VLOOKUP(A88,[1]!TOX,15,FALSE))*'GW-2 Exp'!$G$26)</f>
        <v>0</v>
      </c>
      <c r="D88" s="356">
        <f>IF(VLOOKUP(A88,[1]!TOX,15,FALSE)=0,0,IF(VLOOKUP(A88,[1]!TOX,36,FALSE)="M",'[1]Target Risk'!$D$12/((VLOOKUP(A88,[1]!TOX,15,FALSE))*(1*('GW-2 Exp'!$H$34))),0))</f>
        <v>0</v>
      </c>
      <c r="E88" s="415">
        <f>IF(VLOOKUP(A88,[1]!TOX,15,FALSE)=0,0,IF(VLOOKUP(A88,[1]!TOX,36,FALSE)="M",'[1]Target Risk'!$D$12/((VLOOKUP(A88,[1]!TOX,15,FALSE))*(1*('GW-2 Exp'!$H$34))),'[1]Target Risk'!$D$12/(VLOOKUP(A88,[1]!TOX,15,FALSE))*'GW-2 Exp'!$G$26))</f>
        <v>0</v>
      </c>
      <c r="F88" s="414">
        <f t="shared" si="14"/>
        <v>0.60000000000000009</v>
      </c>
      <c r="G88" s="356" t="str">
        <f t="shared" si="15"/>
        <v>Noncancer</v>
      </c>
      <c r="H88" s="437">
        <f>0.5*(VLOOKUP(A88,[1]!TOX,46,FALSE))</f>
        <v>220</v>
      </c>
      <c r="I88" s="356">
        <f t="shared" si="9"/>
        <v>0.60000000000000009</v>
      </c>
      <c r="J88" s="356" t="str">
        <f t="shared" si="10"/>
        <v>Noncancer</v>
      </c>
      <c r="K88" s="429">
        <f>(VLOOKUP(A88,[1]!TOX,41,FALSE))</f>
        <v>2.7</v>
      </c>
      <c r="L88" s="414">
        <f t="shared" si="11"/>
        <v>2.7</v>
      </c>
      <c r="M88" s="435" t="str">
        <f t="shared" si="12"/>
        <v>Background Indoor Air</v>
      </c>
      <c r="N88" s="425">
        <f>IF(O88=0,0,(VLOOKUP(A88,[2]!CCalcs,12,FALSE)))</f>
        <v>6.8961323734266576E-4</v>
      </c>
      <c r="O88" s="425">
        <f>(VLOOKUP(A88,[2]!CCalcs,4,FALSE))</f>
        <v>5.9688347847640698E-3</v>
      </c>
      <c r="P88" s="437">
        <v>1000</v>
      </c>
      <c r="Q88" s="437">
        <v>1</v>
      </c>
      <c r="R88" s="425">
        <f t="shared" si="13"/>
        <v>655.94679875961629</v>
      </c>
      <c r="S88" s="414">
        <f>IF(R88=0,0,IF(VLOOKUP(A88,[1]!TOX,52,FALSE)=0,MIN(VLOOKUP(A88,[1]!TOX,79,FALSE),R88),MIN(VLOOKUP(A88,[1]!TOX,79,FALSE),R88,(VLOOKUP(A88,[1]!TOX,52,FALSE)))))</f>
        <v>655.94679875961629</v>
      </c>
      <c r="T88" s="435" t="str">
        <f>IF(R88=0,0,IF(R88=S88,M88,IF(S88=(VLOOKUP(A88,[1]!TOX,52,FALSE)),"Greater than Solubility","Ceiling Value")))</f>
        <v>Background Indoor Air</v>
      </c>
      <c r="U88" s="356">
        <f>IF(R88=0,0,IF(AND([1]Toxicity!$AZ84&gt;0,R88&gt;[1]Toxicity!$AZ84,[1]Toxicity!$AZ84&lt;[1]Toxicity!$CA84),0,MAX(S88,[1]Toxicity!AY84,[1]Toxicity!AN84)))</f>
        <v>655.94679875961629</v>
      </c>
      <c r="V88" s="354">
        <f>ROUND(U88,-INT(LOG10(ABS(U88))))</f>
        <v>700</v>
      </c>
      <c r="W88" s="355" t="str">
        <f>IF(R88=0,"NA",IF(U88=0,"NA, &gt; Solubility",IF(U88=S88,T88,IF(U88=(VLOOKUP(A88,[1]!TOX,40,FALSE)),"Groundwater Background","Water PQL"))))</f>
        <v>Background Indoor Air</v>
      </c>
    </row>
    <row r="89" spans="1:23" x14ac:dyDescent="0.25">
      <c r="A89" s="342" t="s">
        <v>237</v>
      </c>
      <c r="B89" s="356">
        <f>(VLOOKUP(A89,[1]!TOX,8,FALSE)*'[1]Target Risk'!$D$8*'GW-2 Exp'!$G$18*'GW-2 Exp'!$E$18)</f>
        <v>0.2</v>
      </c>
      <c r="C89" s="414">
        <f>IF(VLOOKUP(A89,[1]!TOX,15,FALSE)=0,0,'[1]Target Risk'!$D$12/(VLOOKUP(A89,[1]!TOX,15,FALSE))*'GW-2 Exp'!$G$26)</f>
        <v>4.8611111111111112E-3</v>
      </c>
      <c r="D89" s="356">
        <f>IF(VLOOKUP(A89,[1]!TOX,15,FALSE)=0,0,IF(VLOOKUP(A89,[1]!TOX,36,FALSE)="M",'[1]Target Risk'!$D$12/((VLOOKUP(A89,[1]!TOX,15,FALSE))*(1*('GW-2 Exp'!$H$34))),0))</f>
        <v>0</v>
      </c>
      <c r="E89" s="415">
        <f>IF(VLOOKUP(A89,[1]!TOX,15,FALSE)=0,0,IF(VLOOKUP(A89,[1]!TOX,36,FALSE)="M",'[1]Target Risk'!$D$12/((VLOOKUP(A89,[1]!TOX,15,FALSE))*(1*('GW-2 Exp'!$H$34))),'[1]Target Risk'!$D$12/(VLOOKUP(A89,[1]!TOX,15,FALSE))*'GW-2 Exp'!$G$26))</f>
        <v>4.8611111111111112E-3</v>
      </c>
      <c r="F89" s="414">
        <f t="shared" si="14"/>
        <v>4.8611111111111112E-3</v>
      </c>
      <c r="G89" s="356" t="str">
        <f t="shared" si="15"/>
        <v>Cancer</v>
      </c>
      <c r="H89" s="437">
        <f>0.5*(VLOOKUP(A89,[1]!TOX,46,FALSE))</f>
        <v>0</v>
      </c>
      <c r="I89" s="356">
        <f t="shared" si="9"/>
        <v>4.8611111111111112E-3</v>
      </c>
      <c r="J89" s="356" t="str">
        <f t="shared" si="10"/>
        <v>Cancer</v>
      </c>
      <c r="K89" s="429">
        <f>(VLOOKUP(A89,[1]!TOX,41,FALSE))</f>
        <v>0</v>
      </c>
      <c r="L89" s="414">
        <f t="shared" si="11"/>
        <v>4.8611111111111112E-3</v>
      </c>
      <c r="M89" s="435" t="str">
        <f t="shared" si="12"/>
        <v>Cancer</v>
      </c>
      <c r="N89" s="425">
        <f>IF(O89=0,0,(VLOOKUP(A89,[2]!CCalcs,12,FALSE)))</f>
        <v>0</v>
      </c>
      <c r="O89" s="425">
        <f>(VLOOKUP(A89,[2]!CCalcs,4,FALSE))</f>
        <v>0</v>
      </c>
      <c r="P89" s="437">
        <v>1000</v>
      </c>
      <c r="Q89" s="437">
        <v>1</v>
      </c>
      <c r="R89" s="425">
        <f t="shared" si="13"/>
        <v>0</v>
      </c>
      <c r="S89" s="414">
        <f>IF(R89=0,0,IF(VLOOKUP(A89,[1]!TOX,52,FALSE)=0,MIN(VLOOKUP(A89,[1]!TOX,79,FALSE),R89),MIN(VLOOKUP(A89,[1]!TOX,79,FALSE),R89,(VLOOKUP(A89,[1]!TOX,52,FALSE)))))</f>
        <v>0</v>
      </c>
      <c r="T89" s="435">
        <f>IF(R89=0,0,IF(R89=S89,M89,IF(S89=(VLOOKUP(A89,[1]!TOX,52,FALSE)),"Greater than Solubility","Ceiling Value")))</f>
        <v>0</v>
      </c>
      <c r="U89" s="356">
        <f>IF(R89=0,0,IF(AND([1]Toxicity!$AZ85&gt;0,R89&gt;[1]Toxicity!$AZ85,[1]Toxicity!$AZ85&lt;[1]Toxicity!$CA85),0,MAX(S89,[1]Toxicity!AY85,[1]Toxicity!AN85)))</f>
        <v>0</v>
      </c>
      <c r="V89" s="354"/>
      <c r="W89" s="355" t="str">
        <f>IF(R89=0,"NA",IF(U89=0,"NA, &gt; Solubility",IF(U89=S89,T89,IF(U89=(VLOOKUP(A89,[1]!TOX,40,FALSE)),"Groundwater Background","Water PQL"))))</f>
        <v>NA</v>
      </c>
    </row>
    <row r="90" spans="1:23" x14ac:dyDescent="0.25">
      <c r="A90" s="342" t="s">
        <v>238</v>
      </c>
      <c r="B90" s="356">
        <f>(VLOOKUP(A90,[1]!TOX,8,FALSE)*'[1]Target Risk'!$D$8*'GW-2 Exp'!$G$18*'GW-2 Exp'!$E$18)</f>
        <v>1.4E-2</v>
      </c>
      <c r="C90" s="414">
        <f>IF(VLOOKUP(A90,[1]!TOX,15,FALSE)=0,0,'[1]Target Risk'!$D$12/(VLOOKUP(A90,[1]!TOX,15,FALSE))*'GW-2 Exp'!$G$26)</f>
        <v>2.3333333333333331E-2</v>
      </c>
      <c r="D90" s="356">
        <f>IF(VLOOKUP(A90,[1]!TOX,15,FALSE)=0,0,IF(VLOOKUP(A90,[1]!TOX,36,FALSE)="M",'[1]Target Risk'!$D$12/((VLOOKUP(A90,[1]!TOX,15,FALSE))*(1*('GW-2 Exp'!$H$34))),0))</f>
        <v>0</v>
      </c>
      <c r="E90" s="415">
        <f>IF(VLOOKUP(A90,[1]!TOX,15,FALSE)=0,0,IF(VLOOKUP(A90,[1]!TOX,36,FALSE)="M",'[1]Target Risk'!$D$12/((VLOOKUP(A90,[1]!TOX,15,FALSE))*(1*('GW-2 Exp'!$H$34))),'[1]Target Risk'!$D$12/(VLOOKUP(A90,[1]!TOX,15,FALSE))*'GW-2 Exp'!$G$26))</f>
        <v>2.3333333333333331E-2</v>
      </c>
      <c r="F90" s="414">
        <f t="shared" si="14"/>
        <v>1.4E-2</v>
      </c>
      <c r="G90" s="356" t="str">
        <f t="shared" si="15"/>
        <v>Noncancer</v>
      </c>
      <c r="H90" s="437">
        <f>0.5*(VLOOKUP(A90,[1]!TOX,46,FALSE))</f>
        <v>0</v>
      </c>
      <c r="I90" s="356">
        <f t="shared" si="9"/>
        <v>1.4E-2</v>
      </c>
      <c r="J90" s="356" t="str">
        <f t="shared" si="10"/>
        <v>Noncancer</v>
      </c>
      <c r="K90" s="429">
        <f>(VLOOKUP(A90,[1]!TOX,41,FALSE))</f>
        <v>0</v>
      </c>
      <c r="L90" s="414">
        <f t="shared" si="11"/>
        <v>1.4E-2</v>
      </c>
      <c r="M90" s="435" t="str">
        <f t="shared" si="12"/>
        <v>Noncancer</v>
      </c>
      <c r="N90" s="425">
        <f>IF(O90=0,0,(VLOOKUP(A90,[2]!CCalcs,12,FALSE)))</f>
        <v>1.1437192933171994E-3</v>
      </c>
      <c r="O90" s="425">
        <f>(VLOOKUP(A90,[2]!CCalcs,4,FALSE))</f>
        <v>1.8150927507302105E-7</v>
      </c>
      <c r="P90" s="437">
        <v>1000</v>
      </c>
      <c r="Q90" s="437">
        <v>1</v>
      </c>
      <c r="R90" s="425">
        <f t="shared" si="13"/>
        <v>67438.789483070548</v>
      </c>
      <c r="S90" s="414">
        <f>IF(R90=0,0,IF(VLOOKUP(A90,[1]!TOX,52,FALSE)=0,MIN(VLOOKUP(A90,[1]!TOX,79,FALSE),R90),MIN(VLOOKUP(A90,[1]!TOX,79,FALSE),R90,(VLOOKUP(A90,[1]!TOX,52,FALSE)))))</f>
        <v>14000</v>
      </c>
      <c r="T90" s="435" t="str">
        <f>IF(R90=0,0,IF(R90=S90,M90,IF(S90=(VLOOKUP(A90,[1]!TOX,52,FALSE)),"Greater than Solubility","Ceiling Value")))</f>
        <v>Greater than Solubility</v>
      </c>
      <c r="U90" s="356">
        <f>IF(R90=0,0,IF(AND([1]Toxicity!$AZ86&gt;0,R90&gt;[1]Toxicity!$AZ86,[1]Toxicity!$AZ86&lt;[1]Toxicity!$CA86),0,MAX(S90,[1]Toxicity!AY86,[1]Toxicity!AN86)))</f>
        <v>0</v>
      </c>
      <c r="V90" s="354"/>
      <c r="W90" s="355" t="str">
        <f>IF(R90=0,"NA",IF(U90=0,"NA, &gt; Solubility",IF(U90=S90,T90,IF(U90=(VLOOKUP(A90,[1]!TOX,40,FALSE)),"Groundwater Background","Water PQL"))))</f>
        <v>NA, &gt; Solubility</v>
      </c>
    </row>
    <row r="91" spans="1:23" ht="20" x14ac:dyDescent="0.25">
      <c r="A91" s="343" t="s">
        <v>940</v>
      </c>
      <c r="B91" s="356">
        <f>(VLOOKUP(A91,[1]!TOX,8,FALSE)*'[1]Target Risk'!$D$8*'GW-2 Exp'!$G$18*'GW-2 Exp'!$E$18)</f>
        <v>4.000000000000001E-3</v>
      </c>
      <c r="C91" s="414">
        <f>IF(VLOOKUP(A91,[1]!TOX,15,FALSE)=0,0,'[1]Target Risk'!$D$12/(VLOOKUP(A91,[1]!TOX,15,FALSE))*'GW-2 Exp'!$G$26)</f>
        <v>0</v>
      </c>
      <c r="D91" s="356">
        <f>IF(VLOOKUP(A91,[1]!TOX,15,FALSE)=0,0,IF(VLOOKUP(A91,[1]!TOX,36,FALSE)="M",'[1]Target Risk'!$D$12/((VLOOKUP(A91,[1]!TOX,15,FALSE))*(1*('GW-2 Exp'!$H$34))),0))</f>
        <v>0</v>
      </c>
      <c r="E91" s="415">
        <f>IF(VLOOKUP(A91,[1]!TOX,15,FALSE)=0,0,IF(VLOOKUP(A91,[1]!TOX,36,FALSE)="M",'[1]Target Risk'!$D$12/((VLOOKUP(A91,[1]!TOX,15,FALSE))*(1*('GW-2 Exp'!$H$34))),'[1]Target Risk'!$D$12/(VLOOKUP(A91,[1]!TOX,15,FALSE))*'GW-2 Exp'!$G$26))</f>
        <v>0</v>
      </c>
      <c r="F91" s="414">
        <f t="shared" si="14"/>
        <v>4.000000000000001E-3</v>
      </c>
      <c r="G91" s="356" t="str">
        <f t="shared" si="15"/>
        <v>Noncancer</v>
      </c>
      <c r="H91" s="425"/>
      <c r="I91" s="356">
        <f t="shared" si="9"/>
        <v>4.000000000000001E-3</v>
      </c>
      <c r="J91" s="356" t="str">
        <f t="shared" si="10"/>
        <v>Noncancer</v>
      </c>
      <c r="K91" s="429">
        <f>(VLOOKUP(A91,[1]!TOX,41,FALSE))</f>
        <v>0</v>
      </c>
      <c r="L91" s="414">
        <f t="shared" si="11"/>
        <v>4.000000000000001E-3</v>
      </c>
      <c r="M91" s="435" t="str">
        <f t="shared" si="12"/>
        <v>Noncancer</v>
      </c>
      <c r="N91" s="425"/>
      <c r="O91" s="425">
        <f>(VLOOKUP(A91,[2]!CCalcs,4,FALSE))</f>
        <v>0</v>
      </c>
      <c r="P91" s="437">
        <v>1000</v>
      </c>
      <c r="Q91" s="437">
        <v>1</v>
      </c>
      <c r="R91" s="425">
        <f t="shared" si="13"/>
        <v>0</v>
      </c>
      <c r="S91" s="414">
        <f>IF(R91=0,0,IF(VLOOKUP(A91,[1]!TOX,52,FALSE)=0,MIN(VLOOKUP(A91,[1]!TOX,79,FALSE),R91),MIN(VLOOKUP(A91,[1]!TOX,79,FALSE),R91,(VLOOKUP(A91,[1]!TOX,52,FALSE)))))</f>
        <v>0</v>
      </c>
      <c r="T91" s="435">
        <f>IF(R91=0,0,IF(R91=S91,M91,IF(S91=(VLOOKUP(A91,[1]!TOX,52,FALSE)),"Greater than Solubility","Ceiling Value")))</f>
        <v>0</v>
      </c>
      <c r="U91" s="356">
        <f>IF(R91=0,0,IF(AND([1]Toxicity!$AZ87&gt;0,R91&gt;[1]Toxicity!$AZ87,[1]Toxicity!$AZ87&lt;[1]Toxicity!$CA87),0,MAX(S91,[1]Toxicity!AY87,[1]Toxicity!AN87)))</f>
        <v>0</v>
      </c>
      <c r="V91" s="354"/>
      <c r="W91" s="355" t="str">
        <f>IF(R91=0,"NA",IF(U91=0,"NA, &gt; Solubility",IF(U91=S91,T91,IF(U91=(VLOOKUP(A91,[1]!TOX,40,FALSE)),"Groundwater Background","Water PQL"))))</f>
        <v>NA</v>
      </c>
    </row>
    <row r="92" spans="1:23" x14ac:dyDescent="0.25">
      <c r="A92" s="343" t="s">
        <v>949</v>
      </c>
      <c r="B92" s="356">
        <f>(VLOOKUP(A92,[1]!TOX,8,FALSE)*'[1]Target Risk'!$D$8*'GW-2 Exp'!$G$18*'GW-2 Exp'!$E$18)</f>
        <v>4.000000000000001E-3</v>
      </c>
      <c r="C92" s="414">
        <f>IF(VLOOKUP(A92,[1]!TOX,15,FALSE)=0,0,'[1]Target Risk'!$D$12/(VLOOKUP(A92,[1]!TOX,15,FALSE))*'GW-2 Exp'!$G$26)</f>
        <v>0</v>
      </c>
      <c r="D92" s="356">
        <f>IF(VLOOKUP(A92,[1]!TOX,15,FALSE)=0,0,IF(VLOOKUP(A92,[1]!TOX,36,FALSE)="M",'[1]Target Risk'!$D$12/((VLOOKUP(A92,[1]!TOX,15,FALSE))*(1*('GW-2 Exp'!$H$34))),0))</f>
        <v>0</v>
      </c>
      <c r="E92" s="415">
        <f>IF(VLOOKUP(A92,[1]!TOX,15,FALSE)=0,0,IF(VLOOKUP(A92,[1]!TOX,36,FALSE)="M",'[1]Target Risk'!$D$12/((VLOOKUP(A92,[1]!TOX,15,FALSE))*(1*('GW-2 Exp'!$H$34))),'[1]Target Risk'!$D$12/(VLOOKUP(A92,[1]!TOX,15,FALSE))*'GW-2 Exp'!$G$26))</f>
        <v>0</v>
      </c>
      <c r="F92" s="414">
        <f t="shared" si="14"/>
        <v>4.000000000000001E-3</v>
      </c>
      <c r="G92" s="356" t="str">
        <f t="shared" si="15"/>
        <v>Noncancer</v>
      </c>
      <c r="H92" s="425"/>
      <c r="I92" s="356">
        <f t="shared" si="9"/>
        <v>4.000000000000001E-3</v>
      </c>
      <c r="J92" s="356" t="str">
        <f t="shared" si="10"/>
        <v>Noncancer</v>
      </c>
      <c r="K92" s="429">
        <f>(VLOOKUP(A92,[1]!TOX,41,FALSE))</f>
        <v>0</v>
      </c>
      <c r="L92" s="414">
        <f t="shared" si="11"/>
        <v>4.000000000000001E-3</v>
      </c>
      <c r="M92" s="435" t="str">
        <f t="shared" si="12"/>
        <v>Noncancer</v>
      </c>
      <c r="N92" s="425"/>
      <c r="O92" s="425">
        <f>(VLOOKUP(A92,[2]!CCalcs,4,FALSE))</f>
        <v>0</v>
      </c>
      <c r="P92" s="437">
        <v>1000</v>
      </c>
      <c r="Q92" s="437">
        <v>1</v>
      </c>
      <c r="R92" s="425">
        <f t="shared" si="13"/>
        <v>0</v>
      </c>
      <c r="S92" s="414">
        <f>IF(R92=0,0,IF(VLOOKUP(A92,[1]!TOX,52,FALSE)=0,MIN(VLOOKUP(A92,[1]!TOX,79,FALSE),R92),MIN(VLOOKUP(A92,[1]!TOX,79,FALSE),R92,(VLOOKUP(A92,[1]!TOX,52,FALSE)))))</f>
        <v>0</v>
      </c>
      <c r="T92" s="435">
        <f>IF(R92=0,0,IF(R92=S92,M92,IF(S92=(VLOOKUP(A92,[1]!TOX,52,FALSE)),"Greater than Solubility","Ceiling Value")))</f>
        <v>0</v>
      </c>
      <c r="U92" s="356">
        <f>IF(R92=0,0,IF(AND([1]Toxicity!$AZ88&gt;0,R92&gt;[1]Toxicity!$AZ88,[1]Toxicity!$AZ88&lt;[1]Toxicity!$CA88),0,MAX(S92,[1]Toxicity!AY88,[1]Toxicity!AN88)))</f>
        <v>0</v>
      </c>
      <c r="V92" s="354"/>
      <c r="W92" s="355"/>
    </row>
    <row r="93" spans="1:23" x14ac:dyDescent="0.25">
      <c r="A93" s="342" t="s">
        <v>891</v>
      </c>
      <c r="B93" s="356">
        <f>(VLOOKUP(A93,[1]!TOX,8,FALSE)*'[1]Target Risk'!$D$8*'GW-2 Exp'!$G$18*'GW-2 Exp'!$E$18)</f>
        <v>4.000000000000001E-3</v>
      </c>
      <c r="C93" s="414">
        <f>IF(VLOOKUP(A93,[1]!TOX,15,FALSE)=0,0,'[1]Target Risk'!$D$12/(VLOOKUP(A93,[1]!TOX,15,FALSE))*'GW-2 Exp'!$G$26)</f>
        <v>0</v>
      </c>
      <c r="D93" s="356">
        <f>IF(VLOOKUP(A93,[1]!TOX,15,FALSE)=0,0,IF(VLOOKUP(A93,[1]!TOX,36,FALSE)="M",'[1]Target Risk'!$D$12/((VLOOKUP(A93,[1]!TOX,15,FALSE))*(1*('GW-2 Exp'!$H$34))),0))</f>
        <v>0</v>
      </c>
      <c r="E93" s="415">
        <f>IF(VLOOKUP(A93,[1]!TOX,15,FALSE)=0,0,IF(VLOOKUP(A93,[1]!TOX,36,FALSE)="M",'[1]Target Risk'!$D$12/((VLOOKUP(A93,[1]!TOX,15,FALSE))*(1*('GW-2 Exp'!$H$34))),'[1]Target Risk'!$D$12/(VLOOKUP(A93,[1]!TOX,15,FALSE))*'GW-2 Exp'!$G$26))</f>
        <v>0</v>
      </c>
      <c r="F93" s="414">
        <f t="shared" si="14"/>
        <v>4.000000000000001E-3</v>
      </c>
      <c r="G93" s="356" t="str">
        <f t="shared" si="15"/>
        <v>Noncancer</v>
      </c>
      <c r="H93" s="437">
        <f>0.5*(VLOOKUP(A93,[1]!TOX,46,FALSE))</f>
        <v>0</v>
      </c>
      <c r="I93" s="356">
        <f t="shared" ref="I93:I97" si="17">IF(F93=0,H93,IF(H93=0,F93,MIN(F93,H93)))</f>
        <v>4.000000000000001E-3</v>
      </c>
      <c r="J93" s="356" t="str">
        <f t="shared" ref="J93:J97" si="18">IF(I93=0,0,IF(I93=H93,"50% Odor Threshold",G93))</f>
        <v>Noncancer</v>
      </c>
      <c r="K93" s="429">
        <f>(VLOOKUP(A93,[1]!TOX,41,FALSE))</f>
        <v>0</v>
      </c>
      <c r="L93" s="414">
        <f t="shared" ref="L93:L97" si="19">MAX(K93,I93)</f>
        <v>4.000000000000001E-3</v>
      </c>
      <c r="M93" s="435" t="str">
        <f t="shared" ref="M93:M97" si="20">IF(L93=0,0,IF(L93=K93,"Background Indoor Air",J93))</f>
        <v>Noncancer</v>
      </c>
      <c r="N93" s="425">
        <f>IF(O93=0,0,(VLOOKUP(A93,[2]!CCalcs,12,FALSE)))</f>
        <v>0</v>
      </c>
      <c r="O93" s="425">
        <f>(VLOOKUP(A93,[2]!CCalcs,4,FALSE))</f>
        <v>0</v>
      </c>
      <c r="P93" s="437">
        <v>1000</v>
      </c>
      <c r="Q93" s="437">
        <v>1</v>
      </c>
      <c r="R93" s="425">
        <f t="shared" si="13"/>
        <v>0</v>
      </c>
      <c r="S93" s="414">
        <f>IF(R93=0,0,IF(VLOOKUP(A93,[1]!TOX,52,FALSE)=0,MIN(VLOOKUP(A93,[1]!TOX,79,FALSE),R93),MIN(VLOOKUP(A93,[1]!TOX,79,FALSE),R93,(VLOOKUP(A93,[1]!TOX,52,FALSE)))))</f>
        <v>0</v>
      </c>
      <c r="T93" s="435">
        <f>IF(R93=0,0,IF(R93=S93,M93,IF(S93=(VLOOKUP(A93,[1]!TOX,52,FALSE)),"Greater than Solubility","Ceiling Value")))</f>
        <v>0</v>
      </c>
      <c r="U93" s="356">
        <f>IF(R93=0,0,IF(AND([1]Toxicity!$AZ89&gt;0,R93&gt;[1]Toxicity!$AZ89,[1]Toxicity!$AZ89&lt;[1]Toxicity!$CA89),0,MAX(S93,[1]Toxicity!AY89,[1]Toxicity!AN89)))</f>
        <v>0</v>
      </c>
      <c r="V93" s="354"/>
      <c r="W93" s="355" t="str">
        <f>IF(R93=0,"NA",IF(U93=0,"NA, &gt; Solubility",IF(U93=S93,T93,IF(U93=(VLOOKUP(A93,[1]!TOX,40,FALSE)),"Groundwater Background","Water PQL"))))</f>
        <v>NA</v>
      </c>
    </row>
    <row r="94" spans="1:23" ht="20" x14ac:dyDescent="0.25">
      <c r="A94" s="342" t="s">
        <v>892</v>
      </c>
      <c r="B94" s="356">
        <f>(VLOOKUP(A94,[1]!TOX,8,FALSE)*'[1]Target Risk'!$D$8*'GW-2 Exp'!$G$18*'GW-2 Exp'!$E$18)</f>
        <v>4.000000000000001E-3</v>
      </c>
      <c r="C94" s="414">
        <f>IF(VLOOKUP(A94,[1]!TOX,15,FALSE)=0,0,'[1]Target Risk'!$D$12/(VLOOKUP(A94,[1]!TOX,15,FALSE))*'GW-2 Exp'!$G$26)</f>
        <v>0</v>
      </c>
      <c r="D94" s="356">
        <f>IF(VLOOKUP(A94,[1]!TOX,15,FALSE)=0,0,IF(VLOOKUP(A94,[1]!TOX,36,FALSE)="M",'[1]Target Risk'!$D$12/((VLOOKUP(A94,[1]!TOX,15,FALSE))*(1*('GW-2 Exp'!$H$34))),0))</f>
        <v>0</v>
      </c>
      <c r="E94" s="415">
        <f>IF(VLOOKUP(A94,[1]!TOX,15,FALSE)=0,0,IF(VLOOKUP(A94,[1]!TOX,36,FALSE)="M",'[1]Target Risk'!$D$12/((VLOOKUP(A94,[1]!TOX,15,FALSE))*(1*('GW-2 Exp'!$H$34))),'[1]Target Risk'!$D$12/(VLOOKUP(A94,[1]!TOX,15,FALSE))*'GW-2 Exp'!$G$26))</f>
        <v>0</v>
      </c>
      <c r="F94" s="414">
        <f t="shared" si="14"/>
        <v>4.000000000000001E-3</v>
      </c>
      <c r="G94" s="356" t="str">
        <f t="shared" si="15"/>
        <v>Noncancer</v>
      </c>
      <c r="H94" s="437">
        <f>0.5*(VLOOKUP(A94,[1]!TOX,46,FALSE))</f>
        <v>0</v>
      </c>
      <c r="I94" s="356">
        <f t="shared" si="17"/>
        <v>4.000000000000001E-3</v>
      </c>
      <c r="J94" s="356" t="str">
        <f t="shared" si="18"/>
        <v>Noncancer</v>
      </c>
      <c r="K94" s="429">
        <f>(VLOOKUP(A94,[1]!TOX,41,FALSE))</f>
        <v>0</v>
      </c>
      <c r="L94" s="414">
        <f t="shared" si="19"/>
        <v>4.000000000000001E-3</v>
      </c>
      <c r="M94" s="435" t="str">
        <f t="shared" si="20"/>
        <v>Noncancer</v>
      </c>
      <c r="N94" s="425">
        <f>IF(O94=0,0,(VLOOKUP(A94,[2]!CCalcs,12,FALSE)))</f>
        <v>0</v>
      </c>
      <c r="O94" s="425">
        <f>(VLOOKUP(A94,[2]!CCalcs,4,FALSE))</f>
        <v>0</v>
      </c>
      <c r="P94" s="437">
        <v>1000</v>
      </c>
      <c r="Q94" s="437">
        <v>1</v>
      </c>
      <c r="R94" s="425">
        <f t="shared" si="13"/>
        <v>0</v>
      </c>
      <c r="S94" s="414">
        <f>IF(R94=0,0,IF(VLOOKUP(A94,[1]!TOX,52,FALSE)=0,MIN(VLOOKUP(A94,[1]!TOX,79,FALSE),R94),MIN(VLOOKUP(A94,[1]!TOX,79,FALSE),R94,(VLOOKUP(A94,[1]!TOX,52,FALSE)))))</f>
        <v>0</v>
      </c>
      <c r="T94" s="435">
        <f>IF(R94=0,0,IF(R94=S94,M94,IF(S94=(VLOOKUP(A94,[1]!TOX,52,FALSE)),"Greater than Solubility","Ceiling Value")))</f>
        <v>0</v>
      </c>
      <c r="U94" s="356">
        <f>IF(R94=0,0,IF(AND([1]Toxicity!$AZ90&gt;0,R94&gt;[1]Toxicity!$AZ90,[1]Toxicity!$AZ90&lt;[1]Toxicity!$CA90),0,MAX(S94,[1]Toxicity!AY90,[1]Toxicity!AN90)))</f>
        <v>0</v>
      </c>
      <c r="V94" s="354"/>
      <c r="W94" s="355" t="str">
        <f>IF(R94=0,"NA",IF(U94=0,"NA, &gt; Solubility",IF(U94=S94,T94,IF(U94=(VLOOKUP(A94,[1]!TOX,40,FALSE)),"Groundwater Background","Water PQL"))))</f>
        <v>NA</v>
      </c>
    </row>
    <row r="95" spans="1:23" x14ac:dyDescent="0.25">
      <c r="A95" s="469" t="s">
        <v>890</v>
      </c>
      <c r="B95" s="470">
        <f>(VLOOKUP(A95,[1]!TOX,8,FALSE)*'[1]Target Risk'!$D$8*'GW-2 Exp'!$G$18*'GW-2 Exp'!$E$18)</f>
        <v>4.000000000000001E-3</v>
      </c>
      <c r="C95" s="471">
        <f>IF(VLOOKUP(A95,[1]!TOX,15,FALSE)=0,0,'[1]Target Risk'!$D$12/(VLOOKUP(A95,[1]!TOX,15,FALSE))*'GW-2 Exp'!$G$26)</f>
        <v>0</v>
      </c>
      <c r="D95" s="470">
        <f>IF(VLOOKUP(A95,[1]!TOX,15,FALSE)=0,0,IF(VLOOKUP(A95,[1]!TOX,36,FALSE)="M",'[1]Target Risk'!$D$12/((VLOOKUP(A95,[1]!TOX,15,FALSE))*(1*('GW-2 Exp'!$H$34))),0))</f>
        <v>0</v>
      </c>
      <c r="E95" s="472">
        <f>IF(VLOOKUP(A95,[1]!TOX,15,FALSE)=0,0,IF(VLOOKUP(A95,[1]!TOX,36,FALSE)="M",'[1]Target Risk'!$D$12/((VLOOKUP(A95,[1]!TOX,15,FALSE))*(1*('GW-2 Exp'!$H$34))),'[1]Target Risk'!$D$12/(VLOOKUP(A95,[1]!TOX,15,FALSE))*'GW-2 Exp'!$G$26))</f>
        <v>0</v>
      </c>
      <c r="F95" s="471">
        <f t="shared" si="14"/>
        <v>4.000000000000001E-3</v>
      </c>
      <c r="G95" s="470" t="str">
        <f t="shared" si="15"/>
        <v>Noncancer</v>
      </c>
      <c r="H95" s="476">
        <f>0.5*(VLOOKUP(A95,[1]!TOX,46,FALSE))</f>
        <v>0</v>
      </c>
      <c r="I95" s="470">
        <f t="shared" si="17"/>
        <v>4.000000000000001E-3</v>
      </c>
      <c r="J95" s="470" t="str">
        <f t="shared" si="18"/>
        <v>Noncancer</v>
      </c>
      <c r="K95" s="474">
        <f>(VLOOKUP(A95,[1]!TOX,41,FALSE))</f>
        <v>0</v>
      </c>
      <c r="L95" s="471">
        <f t="shared" si="19"/>
        <v>4.000000000000001E-3</v>
      </c>
      <c r="M95" s="475" t="str">
        <f t="shared" si="20"/>
        <v>Noncancer</v>
      </c>
      <c r="N95" s="473">
        <f>IF(O95=0,0,(VLOOKUP(A95,[2]!CCalcs,12,FALSE)))</f>
        <v>0</v>
      </c>
      <c r="O95" s="473">
        <f>(VLOOKUP(A95,[2]!CCalcs,4,FALSE))</f>
        <v>0</v>
      </c>
      <c r="P95" s="476">
        <v>1000</v>
      </c>
      <c r="Q95" s="476">
        <v>1</v>
      </c>
      <c r="R95" s="473">
        <f t="shared" si="13"/>
        <v>0</v>
      </c>
      <c r="S95" s="471">
        <f>IF(R95=0,0,IF(VLOOKUP(A95,[1]!TOX,52,FALSE)=0,MIN(VLOOKUP(A95,[1]!TOX,79,FALSE),R95),MIN(VLOOKUP(A95,[1]!TOX,79,FALSE),R95,(VLOOKUP(A95,[1]!TOX,52,FALSE)))))</f>
        <v>0</v>
      </c>
      <c r="T95" s="475">
        <f>IF(R95=0,0,IF(R95=S95,M95,IF(S95=(VLOOKUP(A95,[1]!TOX,52,FALSE)),"Greater than Solubility","Ceiling Value")))</f>
        <v>0</v>
      </c>
      <c r="U95" s="470">
        <f>IF(R95=0,0,IF(AND([1]Toxicity!$AZ91&gt;0,R95&gt;[1]Toxicity!$AZ91,[1]Toxicity!$AZ91&lt;[1]Toxicity!$CA91),0,MAX(S95,[1]Toxicity!AY91,[1]Toxicity!AN91)))</f>
        <v>0</v>
      </c>
      <c r="V95" s="477"/>
      <c r="W95" s="478" t="str">
        <f>IF(R95=0,"NA",IF(U95=0,"NA, &gt; Solubility",IF(U95=S95,T95,IF(U95=(VLOOKUP(A95,[1]!TOX,40,FALSE)),"Groundwater Background","Water PQL"))))</f>
        <v>NA</v>
      </c>
    </row>
    <row r="96" spans="1:23" ht="20" x14ac:dyDescent="0.25">
      <c r="A96" s="479" t="s">
        <v>927</v>
      </c>
      <c r="B96" s="480">
        <f>(VLOOKUP(A96,[1]!TOX,8,FALSE)*'[1]Target Risk'!$D$8*'GW-2 Exp'!$G$18*'GW-2 Exp'!$E$18)</f>
        <v>4.000000000000001E-3</v>
      </c>
      <c r="C96" s="481">
        <f>IF(VLOOKUP(A96,[1]!TOX,15,FALSE)=0,0,'[1]Target Risk'!$D$12/(VLOOKUP(A96,[1]!TOX,15,FALSE))*'GW-2 Exp'!$G$26)</f>
        <v>0</v>
      </c>
      <c r="D96" s="480">
        <f>IF(VLOOKUP(A96,[1]!TOX,15,FALSE)=0,0,IF(VLOOKUP(A96,[1]!TOX,36,FALSE)="M",'[1]Target Risk'!$D$12/((VLOOKUP(A96,[1]!TOX,15,FALSE))*(1*('GW-2 Exp'!$H$34))),0))</f>
        <v>0</v>
      </c>
      <c r="E96" s="482">
        <f>IF(VLOOKUP(A96,[1]!TOX,15,FALSE)=0,0,IF(VLOOKUP(A96,[1]!TOX,36,FALSE)="M",'[1]Target Risk'!$D$12/((VLOOKUP(A96,[1]!TOX,15,FALSE))*(1*('GW-2 Exp'!$H$34))),'[1]Target Risk'!$D$12/(VLOOKUP(A96,[1]!TOX,15,FALSE))*'GW-2 Exp'!$G$26))</f>
        <v>0</v>
      </c>
      <c r="F96" s="481">
        <f t="shared" si="14"/>
        <v>4.000000000000001E-3</v>
      </c>
      <c r="G96" s="480" t="str">
        <f t="shared" si="15"/>
        <v>Noncancer</v>
      </c>
      <c r="H96" s="486">
        <f>0.5*(VLOOKUP(A96,[1]!TOX,46,FALSE))</f>
        <v>0</v>
      </c>
      <c r="I96" s="480">
        <f t="shared" si="17"/>
        <v>4.000000000000001E-3</v>
      </c>
      <c r="J96" s="480" t="str">
        <f t="shared" si="18"/>
        <v>Noncancer</v>
      </c>
      <c r="K96" s="484">
        <f>(VLOOKUP(A96,[1]!TOX,41,FALSE))</f>
        <v>0</v>
      </c>
      <c r="L96" s="481">
        <f t="shared" si="19"/>
        <v>4.000000000000001E-3</v>
      </c>
      <c r="M96" s="485" t="str">
        <f t="shared" si="20"/>
        <v>Noncancer</v>
      </c>
      <c r="N96" s="483">
        <f>IF(O96=0,0,(VLOOKUP(A96,[2]!CCalcs,12,FALSE)))</f>
        <v>0</v>
      </c>
      <c r="O96" s="483">
        <f>(VLOOKUP(A96,[2]!CCalcs,4,FALSE))</f>
        <v>0</v>
      </c>
      <c r="P96" s="486">
        <v>1000</v>
      </c>
      <c r="Q96" s="486">
        <v>1</v>
      </c>
      <c r="R96" s="483">
        <f t="shared" si="13"/>
        <v>0</v>
      </c>
      <c r="S96" s="481">
        <f>IF(R96=0,0,IF(VLOOKUP(A96,[1]!TOX,52,FALSE)=0,MIN(VLOOKUP(A96,[1]!TOX,79,FALSE),R96),MIN(VLOOKUP(A96,[1]!TOX,79,FALSE),R96,(VLOOKUP(A96,[1]!TOX,52,FALSE)))))</f>
        <v>0</v>
      </c>
      <c r="T96" s="485">
        <f>IF(R96=0,0,IF(R96=S96,M96,IF(S96=(VLOOKUP(A96,[1]!TOX,52,FALSE)),"Greater than Solubility","Ceiling Value")))</f>
        <v>0</v>
      </c>
      <c r="U96" s="480">
        <f>IF(R96=0,0,IF(AND([1]Toxicity!$AZ92&gt;0,R96&gt;[1]Toxicity!$AZ92,[1]Toxicity!$AZ92&lt;[1]Toxicity!$CA92),0,MAX(S96,[1]Toxicity!AY92,[1]Toxicity!AN92)))</f>
        <v>0</v>
      </c>
      <c r="V96" s="487"/>
      <c r="W96" s="488" t="str">
        <f>IF(R96=0,"NA",IF(U96=0,"NA, &gt; Solubility",IF(U96=S96,T96,IF(U96=(VLOOKUP(A96,[1]!TOX,40,FALSE)),"Groundwater Background","Water PQL"))))</f>
        <v>NA</v>
      </c>
    </row>
    <row r="97" spans="1:23" x14ac:dyDescent="0.25">
      <c r="A97" s="479" t="s">
        <v>893</v>
      </c>
      <c r="B97" s="480">
        <f>(VLOOKUP(A97,[1]!TOX,8,FALSE)*'[1]Target Risk'!$D$8*'GW-2 Exp'!$G$18*'GW-2 Exp'!$E$18)</f>
        <v>4.000000000000001E-3</v>
      </c>
      <c r="C97" s="481">
        <f>IF(VLOOKUP(A97,[1]!TOX,15,FALSE)=0,0,'[1]Target Risk'!$D$12/(VLOOKUP(A97,[1]!TOX,15,FALSE))*'GW-2 Exp'!$G$26)</f>
        <v>0</v>
      </c>
      <c r="D97" s="480">
        <f>IF(VLOOKUP(A97,[1]!TOX,15,FALSE)=0,0,IF(VLOOKUP(A97,[1]!TOX,36,FALSE)="M",'[1]Target Risk'!$D$12/((VLOOKUP(A97,[1]!TOX,15,FALSE))*(1*('GW-2 Exp'!$H$34))),0))</f>
        <v>0</v>
      </c>
      <c r="E97" s="482">
        <f>IF(VLOOKUP(A97,[1]!TOX,15,FALSE)=0,0,IF(VLOOKUP(A97,[1]!TOX,36,FALSE)="M",'[1]Target Risk'!$D$12/((VLOOKUP(A97,[1]!TOX,15,FALSE))*(1*('GW-2 Exp'!$H$34))),'[1]Target Risk'!$D$12/(VLOOKUP(A97,[1]!TOX,15,FALSE))*'GW-2 Exp'!$G$26))</f>
        <v>0</v>
      </c>
      <c r="F97" s="481">
        <f t="shared" si="14"/>
        <v>4.000000000000001E-3</v>
      </c>
      <c r="G97" s="480" t="str">
        <f t="shared" si="15"/>
        <v>Noncancer</v>
      </c>
      <c r="H97" s="486">
        <f>0.5*(VLOOKUP(A97,[1]!TOX,46,FALSE))</f>
        <v>0</v>
      </c>
      <c r="I97" s="480">
        <f t="shared" si="17"/>
        <v>4.000000000000001E-3</v>
      </c>
      <c r="J97" s="480" t="str">
        <f t="shared" si="18"/>
        <v>Noncancer</v>
      </c>
      <c r="K97" s="484">
        <f>(VLOOKUP(A97,[1]!TOX,41,FALSE))</f>
        <v>0</v>
      </c>
      <c r="L97" s="481">
        <f t="shared" si="19"/>
        <v>4.000000000000001E-3</v>
      </c>
      <c r="M97" s="485" t="str">
        <f t="shared" si="20"/>
        <v>Noncancer</v>
      </c>
      <c r="N97" s="483">
        <f>IF(O97=0,0,(VLOOKUP(A97,[2]!CCalcs,12,FALSE)))</f>
        <v>0</v>
      </c>
      <c r="O97" s="483">
        <f>(VLOOKUP(A97,[2]!CCalcs,4,FALSE))</f>
        <v>0</v>
      </c>
      <c r="P97" s="486">
        <v>1000</v>
      </c>
      <c r="Q97" s="486">
        <v>1</v>
      </c>
      <c r="R97" s="483">
        <f t="shared" si="13"/>
        <v>0</v>
      </c>
      <c r="S97" s="481">
        <f>IF(R97=0,0,IF(VLOOKUP(A97,[1]!TOX,52,FALSE)=0,MIN(VLOOKUP(A97,[1]!TOX,79,FALSE),R97),MIN(VLOOKUP(A97,[1]!TOX,79,FALSE),R97,(VLOOKUP(A97,[1]!TOX,52,FALSE)))))</f>
        <v>0</v>
      </c>
      <c r="T97" s="485">
        <f>IF(R97=0,0,IF(R97=S97,M97,IF(S97=(VLOOKUP(A97,[1]!TOX,52,FALSE)),"Greater than Solubility","Ceiling Value")))</f>
        <v>0</v>
      </c>
      <c r="U97" s="480">
        <f>IF(R97=0,0,IF(AND([1]Toxicity!$AZ93&gt;0,R97&gt;[1]Toxicity!$AZ93,[1]Toxicity!$AZ93&lt;[1]Toxicity!$CA93),0,MAX(S97,[1]Toxicity!AY93,[1]Toxicity!AN93)))</f>
        <v>0</v>
      </c>
      <c r="V97" s="487"/>
      <c r="W97" s="488" t="str">
        <f>IF(R97=0,"NA",IF(U97=0,"NA, &gt; Solubility",IF(U97=S97,T97,IF(U97=(VLOOKUP(A97,[1]!TOX,40,FALSE)),"Groundwater Background","Water PQL"))))</f>
        <v>NA</v>
      </c>
    </row>
    <row r="98" spans="1:23" x14ac:dyDescent="0.25">
      <c r="A98" s="479" t="s">
        <v>615</v>
      </c>
      <c r="B98" s="480">
        <f>(VLOOKUP(A98,[1]!TOX,8,FALSE)*'[1]Target Risk'!$D$8*'GW-2 Exp'!$G$18*'GW-2 Exp'!$E$18)</f>
        <v>0.04</v>
      </c>
      <c r="C98" s="481">
        <f>IF(VLOOKUP(A98,[1]!TOX,15,FALSE)=0,0,'[1]Target Risk'!$D$12/(VLOOKUP(A98,[1]!TOX,15,FALSE))*'GW-2 Exp'!$G$26)</f>
        <v>0</v>
      </c>
      <c r="D98" s="480">
        <f>IF(VLOOKUP(A98,[1]!TOX,15,FALSE)=0,0,IF(VLOOKUP(A98,[1]!TOX,36,FALSE)="M",'[1]Target Risk'!$D$12/((VLOOKUP(A98,[1]!TOX,15,FALSE))*(1*('GW-2 Exp'!$H$34))),0))</f>
        <v>0</v>
      </c>
      <c r="E98" s="482">
        <f>IF(VLOOKUP(A98,[1]!TOX,15,FALSE)=0,0,IF(VLOOKUP(A98,[1]!TOX,36,FALSE)="M",'[1]Target Risk'!$D$12/((VLOOKUP(A98,[1]!TOX,15,FALSE))*(1*('GW-2 Exp'!$H$34))),'[1]Target Risk'!$D$12/(VLOOKUP(A98,[1]!TOX,15,FALSE))*'GW-2 Exp'!$G$26))</f>
        <v>0</v>
      </c>
      <c r="F98" s="481">
        <f t="shared" si="14"/>
        <v>0.04</v>
      </c>
      <c r="G98" s="480" t="str">
        <f t="shared" si="15"/>
        <v>Noncancer</v>
      </c>
      <c r="H98" s="486">
        <f>0.5*(VLOOKUP(A98,[1]!TOX,46,FALSE))</f>
        <v>0</v>
      </c>
      <c r="I98" s="480">
        <f>IF(F98=0,H98,IF(H98=0,F98,MIN(F98,H98)))</f>
        <v>0.04</v>
      </c>
      <c r="J98" s="480" t="str">
        <f>IF(I98=0,0,IF(I98=H98,"50% Odor Threshold",G98))</f>
        <v>Noncancer</v>
      </c>
      <c r="K98" s="484">
        <f>(VLOOKUP(A98,[1]!TOX,41,FALSE))</f>
        <v>0</v>
      </c>
      <c r="L98" s="481">
        <f>MAX(K98,I98)</f>
        <v>0.04</v>
      </c>
      <c r="M98" s="485" t="str">
        <f>IF(L98=0,0,IF(L98=K98,"Background Indoor Air",J98))</f>
        <v>Noncancer</v>
      </c>
      <c r="N98" s="483">
        <f>IF(O98=0,0,(VLOOKUP(A98,[2]!CCalcs,12,FALSE)))</f>
        <v>0</v>
      </c>
      <c r="O98" s="483">
        <f>(VLOOKUP(A98,[2]!CCalcs,4,FALSE))</f>
        <v>0</v>
      </c>
      <c r="P98" s="486">
        <v>1000</v>
      </c>
      <c r="Q98" s="486">
        <v>1</v>
      </c>
      <c r="R98" s="483">
        <f t="shared" si="13"/>
        <v>0</v>
      </c>
      <c r="S98" s="481">
        <f>IF(R98=0,0,IF(VLOOKUP(A98,[1]!TOX,52,FALSE)=0,MIN(VLOOKUP(A98,[1]!TOX,79,FALSE),R98),MIN(VLOOKUP(A98,[1]!TOX,79,FALSE),R98,(VLOOKUP(A98,[1]!TOX,52,FALSE)))))</f>
        <v>0</v>
      </c>
      <c r="T98" s="485">
        <f>IF(R98=0,0,IF(R98=S98,M98,IF(S98=(VLOOKUP(A98,[1]!TOX,52,FALSE)),"Greater than Solubility","Ceiling Value")))</f>
        <v>0</v>
      </c>
      <c r="U98" s="480">
        <f>IF(R98=0,0,IF(AND([1]Toxicity!$AZ94&gt;0,R98&gt;[1]Toxicity!$AZ94,[1]Toxicity!$AZ94&lt;[1]Toxicity!$CA94),0,MAX(S98,[1]Toxicity!AY94,[1]Toxicity!AN94)))</f>
        <v>0</v>
      </c>
      <c r="V98" s="487"/>
      <c r="W98" s="488" t="str">
        <f>IF(R98=0,"NA",IF(U98=0,"NA, &gt; Solubility",IF(U98=S98,T98,IF(U98=(VLOOKUP(A98,[1]!TOX,40,FALSE)),"Groundwater Background","Water PQL"))))</f>
        <v>NA</v>
      </c>
    </row>
    <row r="99" spans="1:23" x14ac:dyDescent="0.25">
      <c r="A99" s="479" t="s">
        <v>103</v>
      </c>
      <c r="B99" s="480">
        <f>(VLOOKUP(A99,[1]!TOX,8,FALSE)*'[1]Target Risk'!$D$8*'GW-2 Exp'!$G$18*'GW-2 Exp'!$E$18)</f>
        <v>0</v>
      </c>
      <c r="C99" s="481">
        <f>IF(VLOOKUP(A99,[1]!TOX,15,FALSE)=0,0,'[1]Target Risk'!$D$12/(VLOOKUP(A99,[1]!TOX,15,FALSE))*'GW-2 Exp'!$G$26)</f>
        <v>0</v>
      </c>
      <c r="D99" s="480">
        <f>IF(VLOOKUP(A99,[1]!TOX,15,FALSE)=0,0,IF(VLOOKUP(A99,[1]!TOX,36,FALSE)="M",'[1]Target Risk'!$D$12/((VLOOKUP(A99,[1]!TOX,15,FALSE))*(1*('GW-2 Exp'!$H$34))),0))</f>
        <v>0</v>
      </c>
      <c r="E99" s="482">
        <f>IF(VLOOKUP(A99,[1]!TOX,15,FALSE)=0,0,IF(VLOOKUP(A99,[1]!TOX,36,FALSE)="M",'[1]Target Risk'!$D$12/((VLOOKUP(A99,[1]!TOX,15,FALSE))*(1*('GW-2 Exp'!$H$34))),'[1]Target Risk'!$D$12/(VLOOKUP(A99,[1]!TOX,15,FALSE))*'GW-2 Exp'!$G$26))</f>
        <v>0</v>
      </c>
      <c r="F99" s="481">
        <f t="shared" si="14"/>
        <v>0</v>
      </c>
      <c r="G99" s="480">
        <f t="shared" si="15"/>
        <v>0</v>
      </c>
      <c r="H99" s="486">
        <f>0.5*(VLOOKUP(A99,[1]!TOX,46,FALSE))</f>
        <v>0</v>
      </c>
      <c r="I99" s="480"/>
      <c r="J99" s="480"/>
      <c r="K99" s="484">
        <f>(VLOOKUP(A99,[1]!TOX,41,FALSE))</f>
        <v>0</v>
      </c>
      <c r="L99" s="481"/>
      <c r="M99" s="485"/>
      <c r="N99" s="483">
        <f>IF(O99=0,0,(VLOOKUP(A99,[2]!CCalcs,12,FALSE)))</f>
        <v>0</v>
      </c>
      <c r="O99" s="483">
        <f>(VLOOKUP(A99,[2]!CCalcs,4,FALSE))</f>
        <v>0</v>
      </c>
      <c r="P99" s="486"/>
      <c r="Q99" s="486"/>
      <c r="R99" s="483">
        <f t="shared" si="13"/>
        <v>0</v>
      </c>
      <c r="S99" s="481">
        <f>IF(R99=0,0,IF(VLOOKUP(A99,[1]!TOX,52,FALSE)=0,MIN(VLOOKUP(A99,[1]!TOX,79,FALSE),R99),MIN(VLOOKUP(A99,[1]!TOX,79,FALSE),R99,(VLOOKUP(A99,[1]!TOX,52,FALSE)))))</f>
        <v>0</v>
      </c>
      <c r="T99" s="485">
        <f>IF(R99=0,0,IF(R99=S99,M99,IF(S99=(VLOOKUP(A99,[1]!TOX,52,FALSE)),"Greater than Solubility","Ceiling Value")))</f>
        <v>0</v>
      </c>
      <c r="U99" s="480">
        <f>IF(R99=0,0,IF(AND([1]Toxicity!$AZ95&gt;0,R99&gt;[1]Toxicity!$AZ95,[1]Toxicity!$AZ95&lt;[1]Toxicity!$CA95),0,MAX(S99,[1]Toxicity!AY95,[1]Toxicity!AN95)))</f>
        <v>0</v>
      </c>
      <c r="V99" s="487">
        <f>MIN(V102,V103,V105)</f>
        <v>5000</v>
      </c>
      <c r="W99" s="488" t="s">
        <v>887</v>
      </c>
    </row>
    <row r="100" spans="1:23" ht="20" x14ac:dyDescent="0.25">
      <c r="A100" s="791" t="s">
        <v>1051</v>
      </c>
      <c r="B100" s="480">
        <f>(VLOOKUP(A100,[1]!TOX,8,FALSE)*'[1]Target Risk'!$D$8*'GW-2 Exp'!$G$18*'GW-2 Exp'!$E$18)</f>
        <v>40.000000000000007</v>
      </c>
      <c r="C100" s="481">
        <f>IF(VLOOKUP(A100,[1]!TOX,15,FALSE)=0,0,'[1]Target Risk'!$D$12/(VLOOKUP(A100,[1]!TOX,15,FALSE))*'GW-2 Exp'!$G$26)</f>
        <v>0</v>
      </c>
      <c r="D100" s="480">
        <f>IF(VLOOKUP(A100,[1]!TOX,15,FALSE)=0,0,IF(VLOOKUP(A100,[1]!TOX,36,FALSE)="M",'[1]Target Risk'!$D$12/((VLOOKUP(A100,[1]!TOX,15,FALSE))*(1*('GW-2 Exp'!$H$34))),0))</f>
        <v>0</v>
      </c>
      <c r="E100" s="482">
        <f>IF(VLOOKUP(A100,[1]!TOX,15,FALSE)=0,0,IF(VLOOKUP(A100,[1]!TOX,36,FALSE)="M",'[1]Target Risk'!$D$12/((VLOOKUP(A100,[1]!TOX,15,FALSE))*(1*('GW-2 Exp'!$H$34))),'[1]Target Risk'!$D$12/(VLOOKUP(A100,[1]!TOX,15,FALSE))*'GW-2 Exp'!$G$26))</f>
        <v>0</v>
      </c>
      <c r="F100" s="481">
        <f t="shared" si="14"/>
        <v>40.000000000000007</v>
      </c>
      <c r="G100" s="480" t="str">
        <f t="shared" si="15"/>
        <v>Noncancer</v>
      </c>
      <c r="H100" s="483">
        <f>0.5*(VLOOKUP(A100,[1]!TOX,46,FALSE))</f>
        <v>0</v>
      </c>
      <c r="I100" s="480">
        <f t="shared" ref="I100:I105" si="21">IF(F100=0,H100,IF(H100=0,F100,MIN(F100,H100)))</f>
        <v>40.000000000000007</v>
      </c>
      <c r="J100" s="480" t="str">
        <f t="shared" ref="J100:J105" si="22">IF(I100=0,0,IF(I100=H100,"50% Odor Threshold",G100))</f>
        <v>Noncancer</v>
      </c>
      <c r="K100" s="484">
        <f>(VLOOKUP(A100,[1]!TOX,41,FALSE))</f>
        <v>330</v>
      </c>
      <c r="L100" s="481">
        <f t="shared" ref="L100:L105" si="23">MAX(K100,I100)</f>
        <v>330</v>
      </c>
      <c r="M100" s="485" t="str">
        <f t="shared" ref="M100:M105" si="24">IF(L100=0,0,IF(L100=K100,"Background Indoor Air",J100))</f>
        <v>Background Indoor Air</v>
      </c>
      <c r="N100" s="483">
        <f>IF(O100=0,0,(VLOOKUP(A100,[2]!CCalcs,12,FALSE)))</f>
        <v>7.5569213879359649E-4</v>
      </c>
      <c r="O100" s="483">
        <f>(VLOOKUP(A100,[2]!CCalcs,4,FALSE))</f>
        <v>27.888613737492147</v>
      </c>
      <c r="P100" s="486">
        <v>1000</v>
      </c>
      <c r="Q100" s="486">
        <v>10</v>
      </c>
      <c r="R100" s="483">
        <f t="shared" si="13"/>
        <v>156.58209815051046</v>
      </c>
      <c r="S100" s="481">
        <f>IF(R100=0,0,IF(VLOOKUP(A100,[1]!TOX,52,FALSE)=0,MIN(VLOOKUP(A100,[1]!TOX,79,FALSE),R100),MIN(VLOOKUP(A100,[1]!TOX,79,FALSE),R100,(VLOOKUP(A100,[1]!TOX,52,FALSE)))))</f>
        <v>156.58209815051046</v>
      </c>
      <c r="T100" s="485" t="str">
        <f>IF(R100=0,0,IF(R100=S100,M100,IF(S100=(VLOOKUP(A100,[1]!TOX,52,FALSE)),"Greater than Solubility","Ceiling Value")))</f>
        <v>Background Indoor Air</v>
      </c>
      <c r="U100" s="480">
        <f>IF(R100=0,0,IF(AND([1]Toxicity!$AZ96&gt;0,R100&gt;[1]Toxicity!$AZ96,[1]Toxicity!$AZ96&lt;[1]Toxicity!$CA96),0,MAX(S100,[1]Toxicity!AY96,[1]Toxicity!AN96)))</f>
        <v>156.58209815051046</v>
      </c>
      <c r="V100" s="487">
        <v>3000</v>
      </c>
      <c r="W100" s="488" t="s">
        <v>887</v>
      </c>
    </row>
    <row r="101" spans="1:23" ht="20" x14ac:dyDescent="0.25">
      <c r="A101" s="792" t="s">
        <v>1052</v>
      </c>
      <c r="B101" s="480">
        <f>(VLOOKUP(A101,[1]!TOX,8,FALSE)*'[1]Target Risk'!$D$8*'GW-2 Exp'!$G$18*'GW-2 Exp'!$E$18)</f>
        <v>40.000000000000007</v>
      </c>
      <c r="C101" s="481">
        <f>IF(VLOOKUP(A101,[1]!TOX,15,FALSE)=0,0,'[1]Target Risk'!$D$12/(VLOOKUP(A101,[1]!TOX,15,FALSE))*'GW-2 Exp'!$G$26)</f>
        <v>0</v>
      </c>
      <c r="D101" s="480">
        <f>IF(VLOOKUP(A101,[1]!TOX,15,FALSE)=0,0,IF(VLOOKUP(A101,[1]!TOX,36,FALSE)="M",'[1]Target Risk'!$D$12/((VLOOKUP(A101,[1]!TOX,15,FALSE))*(1*('GW-2 Exp'!$H$34))),0))</f>
        <v>0</v>
      </c>
      <c r="E101" s="482">
        <f>IF(VLOOKUP(A101,[1]!TOX,15,FALSE)=0,0,IF(VLOOKUP(A101,[1]!TOX,36,FALSE)="M",'[1]Target Risk'!$D$12/((VLOOKUP(A101,[1]!TOX,15,FALSE))*(1*('GW-2 Exp'!$H$34))),'[1]Target Risk'!$D$12/(VLOOKUP(A101,[1]!TOX,15,FALSE))*'GW-2 Exp'!$G$26))</f>
        <v>0</v>
      </c>
      <c r="F101" s="481">
        <f t="shared" si="14"/>
        <v>40.000000000000007</v>
      </c>
      <c r="G101" s="480" t="str">
        <f t="shared" si="15"/>
        <v>Noncancer</v>
      </c>
      <c r="H101" s="486">
        <f>0.5*(VLOOKUP(A101,[1]!TOX,46,FALSE))</f>
        <v>0</v>
      </c>
      <c r="I101" s="480">
        <f t="shared" si="21"/>
        <v>40.000000000000007</v>
      </c>
      <c r="J101" s="480" t="str">
        <f t="shared" si="22"/>
        <v>Noncancer</v>
      </c>
      <c r="K101" s="484">
        <f>(VLOOKUP(A101,[1]!TOX,41,FALSE))</f>
        <v>220</v>
      </c>
      <c r="L101" s="481">
        <f t="shared" si="23"/>
        <v>220</v>
      </c>
      <c r="M101" s="485" t="str">
        <f t="shared" si="24"/>
        <v>Background Indoor Air</v>
      </c>
      <c r="N101" s="483">
        <f>IF(O101=0,0,(VLOOKUP(A101,[2]!CCalcs,12,FALSE)))</f>
        <v>7.1948499214427705E-4</v>
      </c>
      <c r="O101" s="483">
        <f>(VLOOKUP(A101,[2]!CCalcs,4,FALSE))</f>
        <v>33.569627646981289</v>
      </c>
      <c r="P101" s="486">
        <v>1000</v>
      </c>
      <c r="Q101" s="486">
        <v>10</v>
      </c>
      <c r="R101" s="483">
        <f t="shared" si="13"/>
        <v>91.086584471353078</v>
      </c>
      <c r="S101" s="481">
        <f>IF(R101=0,0,IF(VLOOKUP(A101,[1]!TOX,52,FALSE)=0,MIN(VLOOKUP(A101,[1]!TOX,79,FALSE),R101),MIN(VLOOKUP(A101,[1]!TOX,79,FALSE),R101,(VLOOKUP(A101,[1]!TOX,52,FALSE)))))</f>
        <v>70</v>
      </c>
      <c r="T101" s="485" t="str">
        <f>IF(R101=0,0,IF(R101=S101,M101,IF(S101=(VLOOKUP(A101,[1]!TOX,52,FALSE)),"Greater than Solubility","Ceiling Value")))</f>
        <v>Greater than Solubility</v>
      </c>
      <c r="U101" s="480">
        <f>IF(R101=0,0,IF(AND([1]Toxicity!$AZ97&gt;0,R101&gt;[1]Toxicity!$AZ97,[1]Toxicity!$AZ97&lt;[1]Toxicity!$CA97),0,MAX(S101,[1]Toxicity!AY97,[1]Toxicity!AN97)))</f>
        <v>0</v>
      </c>
      <c r="V101" s="487">
        <v>5000</v>
      </c>
      <c r="W101" s="488" t="s">
        <v>887</v>
      </c>
    </row>
    <row r="102" spans="1:23" ht="20" x14ac:dyDescent="0.25">
      <c r="A102" s="479" t="s">
        <v>1053</v>
      </c>
      <c r="B102" s="480">
        <f>(VLOOKUP(A102,[1]!TOX,8,FALSE)*'[1]Target Risk'!$D$8*'GW-2 Exp'!$G$18*'GW-2 Exp'!$E$18)</f>
        <v>40.000000000000007</v>
      </c>
      <c r="C102" s="481">
        <f>IF(VLOOKUP(A102,[1]!TOX,15,FALSE)=0,0,'[1]Target Risk'!$D$12/(VLOOKUP(A102,[1]!TOX,15,FALSE))*'GW-2 Exp'!$G$26)</f>
        <v>0</v>
      </c>
      <c r="D102" s="480">
        <f>IF(VLOOKUP(A102,[1]!TOX,15,FALSE)=0,0,IF(VLOOKUP(A102,[1]!TOX,36,FALSE)="M",'[1]Target Risk'!$D$12/((VLOOKUP(A102,[1]!TOX,15,FALSE))*(1*('GW-2 Exp'!$H$34))),0))</f>
        <v>0</v>
      </c>
      <c r="E102" s="482">
        <f>IF(VLOOKUP(A102,[1]!TOX,15,FALSE)=0,0,IF(VLOOKUP(A102,[1]!TOX,36,FALSE)="M",'[1]Target Risk'!$D$12/((VLOOKUP(A102,[1]!TOX,15,FALSE))*(1*('GW-2 Exp'!$H$34))),'[1]Target Risk'!$D$12/(VLOOKUP(A102,[1]!TOX,15,FALSE))*'GW-2 Exp'!$G$26))</f>
        <v>0</v>
      </c>
      <c r="F102" s="481">
        <f t="shared" si="14"/>
        <v>40.000000000000007</v>
      </c>
      <c r="G102" s="480" t="str">
        <f t="shared" si="15"/>
        <v>Noncancer</v>
      </c>
      <c r="H102" s="486">
        <f>0.5*(VLOOKUP(A102,[1]!TOX,46,FALSE))</f>
        <v>0</v>
      </c>
      <c r="I102" s="480">
        <f t="shared" si="21"/>
        <v>40.000000000000007</v>
      </c>
      <c r="J102" s="480" t="str">
        <f t="shared" si="22"/>
        <v>Noncancer</v>
      </c>
      <c r="K102" s="484">
        <f>(VLOOKUP(A102,[1]!TOX,41,FALSE))</f>
        <v>100</v>
      </c>
      <c r="L102" s="481">
        <f t="shared" si="23"/>
        <v>100</v>
      </c>
      <c r="M102" s="485" t="str">
        <f t="shared" si="24"/>
        <v>Background Indoor Air</v>
      </c>
      <c r="N102" s="483">
        <f>IF(O102=0,0,(VLOOKUP(A102,[2]!CCalcs,12,FALSE)))</f>
        <v>7.1948634682127458E-4</v>
      </c>
      <c r="O102" s="483">
        <f>(VLOOKUP(A102,[2]!CCalcs,4,FALSE))</f>
        <v>35.635450886795525</v>
      </c>
      <c r="P102" s="486">
        <v>1000</v>
      </c>
      <c r="Q102" s="486">
        <v>10</v>
      </c>
      <c r="R102" s="483">
        <f t="shared" si="13"/>
        <v>39.002746001635735</v>
      </c>
      <c r="S102" s="481">
        <f>IF(R102=0,0,IF(VLOOKUP(A102,[1]!TOX,52,FALSE)=0,MIN(VLOOKUP(A102,[1]!TOX,79,FALSE),R102),MIN(VLOOKUP(A102,[1]!TOX,79,FALSE),R102,(VLOOKUP(A102,[1]!TOX,52,FALSE)))))</f>
        <v>10</v>
      </c>
      <c r="T102" s="485" t="str">
        <f>IF(R102=0,0,IF(R102=S102,M102,IF(S102=(VLOOKUP(A102,[1]!TOX,52,FALSE)),"Greater than Solubility","Ceiling Value")))</f>
        <v>Greater than Solubility</v>
      </c>
      <c r="U102" s="480">
        <f>IF(R102=0,0,IF(AND([1]Toxicity!$AZ98&gt;0,R102&gt;[1]Toxicity!$AZ98,[1]Toxicity!$AZ98&lt;[1]Toxicity!$CA98),0,MAX(S102,[1]Toxicity!AY98,[1]Toxicity!AN98)))</f>
        <v>0</v>
      </c>
      <c r="V102" s="487">
        <v>5000</v>
      </c>
      <c r="W102" s="488" t="s">
        <v>887</v>
      </c>
    </row>
    <row r="103" spans="1:23" ht="20" x14ac:dyDescent="0.25">
      <c r="A103" s="479" t="s">
        <v>1054</v>
      </c>
      <c r="B103" s="480">
        <f>(VLOOKUP(A103,[1]!TOX,8,FALSE)*'[1]Target Risk'!$D$8*'GW-2 Exp'!$G$18*'GW-2 Exp'!$E$18)</f>
        <v>0</v>
      </c>
      <c r="C103" s="481">
        <f>IF(VLOOKUP(A103,[1]!TOX,15,FALSE)=0,0,'[1]Target Risk'!$D$12/(VLOOKUP(A103,[1]!TOX,15,FALSE))*'GW-2 Exp'!$G$26)</f>
        <v>0</v>
      </c>
      <c r="D103" s="480">
        <f>IF(VLOOKUP(A103,[1]!TOX,15,FALSE)=0,0,IF(VLOOKUP(A103,[1]!TOX,36,FALSE)="M",'[1]Target Risk'!$D$12/((VLOOKUP(A103,[1]!TOX,15,FALSE))*(1*('GW-2 Exp'!$H$34))),0))</f>
        <v>0</v>
      </c>
      <c r="E103" s="482">
        <f>IF(VLOOKUP(A103,[1]!TOX,15,FALSE)=0,0,IF(VLOOKUP(A103,[1]!TOX,36,FALSE)="M",'[1]Target Risk'!$D$12/((VLOOKUP(A103,[1]!TOX,15,FALSE))*(1*('GW-2 Exp'!$H$34))),'[1]Target Risk'!$D$12/(VLOOKUP(A103,[1]!TOX,15,FALSE))*'GW-2 Exp'!$G$26))</f>
        <v>0</v>
      </c>
      <c r="F103" s="481">
        <f t="shared" si="14"/>
        <v>0</v>
      </c>
      <c r="G103" s="480">
        <f t="shared" si="15"/>
        <v>0</v>
      </c>
      <c r="H103" s="486">
        <f>0.5*(VLOOKUP(A103,[1]!TOX,46,FALSE))</f>
        <v>0</v>
      </c>
      <c r="I103" s="480">
        <f>IF(F103=0,H103,IF(H103=0,F103,MIN(F103,H103)))</f>
        <v>0</v>
      </c>
      <c r="J103" s="480">
        <f>IF(I103=0,0,IF(I103=H103,"50% Odor Threshold",G103))</f>
        <v>0</v>
      </c>
      <c r="K103" s="484">
        <f>(VLOOKUP(A103,[1]!TOX,41,FALSE))</f>
        <v>0</v>
      </c>
      <c r="L103" s="481">
        <f>MAX(K103,I103)</f>
        <v>0</v>
      </c>
      <c r="M103" s="485">
        <f>IF(L103=0,0,IF(L103=K103,"Background Indoor Air",J103))</f>
        <v>0</v>
      </c>
      <c r="N103" s="483">
        <f>IF(O103=0,0,(VLOOKUP(A103,[2]!CCalcs,12,FALSE)))</f>
        <v>0</v>
      </c>
      <c r="O103" s="483">
        <f>(VLOOKUP(A103,[2]!CCalcs,4,FALSE))</f>
        <v>0</v>
      </c>
      <c r="P103" s="486">
        <v>1000</v>
      </c>
      <c r="Q103" s="486">
        <v>10</v>
      </c>
      <c r="R103" s="483">
        <f>IF(OR(L103=0,N103=0,O103=0),0,L103*Q103/(N103*O103*P103))</f>
        <v>0</v>
      </c>
      <c r="S103" s="481">
        <f>IF(R103=0,0,IF(VLOOKUP(A103,[1]!TOX,52,FALSE)=0,MIN(VLOOKUP(A103,[1]!TOX,79,FALSE),R103),MIN(VLOOKUP(A103,[1]!TOX,79,FALSE),R103,(VLOOKUP(A103,[1]!TOX,52,FALSE)))))</f>
        <v>0</v>
      </c>
      <c r="T103" s="485">
        <f>IF(R103=0,0,IF(R103=S103,M103,IF(S103=(VLOOKUP(A103,[1]!TOX,52,FALSE)),"Greater than Solubility","Ceiling Value")))</f>
        <v>0</v>
      </c>
      <c r="U103" s="480">
        <f>IF(R103=0,0,IF(AND([1]Toxicity!$AZ99&gt;0,R103&gt;[1]Toxicity!$AZ99,[1]Toxicity!$AZ99&lt;[1]Toxicity!$CA99),0,MAX(S103,[1]Toxicity!AY99,[1]Toxicity!AN99)))</f>
        <v>0</v>
      </c>
      <c r="V103" s="487"/>
      <c r="W103" s="488" t="str">
        <f>IF(R103=0,"NA",IF(U103=0,"NA, &gt; Solubility",IF(U103=S103,T103,IF(U103=(VLOOKUP(A103,[1]!TOX,40,FALSE)),"Groundwater Background","Water PQL"))))</f>
        <v>NA</v>
      </c>
    </row>
    <row r="104" spans="1:23" ht="20" x14ac:dyDescent="0.25">
      <c r="A104" s="791" t="s">
        <v>1055</v>
      </c>
      <c r="B104" s="480">
        <f>(VLOOKUP(A104,[1]!TOX,8,FALSE)*'[1]Target Risk'!$D$8*'GW-2 Exp'!$G$18*'GW-2 Exp'!$E$18)</f>
        <v>10.000000000000002</v>
      </c>
      <c r="C104" s="481">
        <f>IF(VLOOKUP(A104,[1]!TOX,15,FALSE)=0,0,'[1]Target Risk'!$D$12/(VLOOKUP(A104,[1]!TOX,15,FALSE))*'GW-2 Exp'!$G$26)</f>
        <v>0</v>
      </c>
      <c r="D104" s="480">
        <f>IF(VLOOKUP(A104,[1]!TOX,15,FALSE)=0,0,IF(VLOOKUP(A104,[1]!TOX,36,FALSE)="M",'[1]Target Risk'!$D$12/((VLOOKUP(A104,[1]!TOX,15,FALSE))*(1*('GW-2 Exp'!$H$34))),0))</f>
        <v>0</v>
      </c>
      <c r="E104" s="482">
        <f>IF(VLOOKUP(A104,[1]!TOX,15,FALSE)=0,0,IF(VLOOKUP(A104,[1]!TOX,36,FALSE)="M",'[1]Target Risk'!$D$12/((VLOOKUP(A104,[1]!TOX,15,FALSE))*(1*('GW-2 Exp'!$H$34))),'[1]Target Risk'!$D$12/(VLOOKUP(A104,[1]!TOX,15,FALSE))*'GW-2 Exp'!$G$26))</f>
        <v>0</v>
      </c>
      <c r="F104" s="481">
        <f t="shared" si="14"/>
        <v>10.000000000000002</v>
      </c>
      <c r="G104" s="480" t="str">
        <f t="shared" si="15"/>
        <v>Noncancer</v>
      </c>
      <c r="H104" s="483">
        <f>0.5*(VLOOKUP(A104,[1]!TOX,46,FALSE))</f>
        <v>0</v>
      </c>
      <c r="I104" s="480">
        <f t="shared" si="21"/>
        <v>10.000000000000002</v>
      </c>
      <c r="J104" s="480" t="str">
        <f t="shared" si="22"/>
        <v>Noncancer</v>
      </c>
      <c r="K104" s="484">
        <f>(VLOOKUP(A104,[1]!TOX,41,FALSE))</f>
        <v>44</v>
      </c>
      <c r="L104" s="481">
        <f t="shared" si="23"/>
        <v>44</v>
      </c>
      <c r="M104" s="485" t="str">
        <f t="shared" si="24"/>
        <v>Background Indoor Air</v>
      </c>
      <c r="N104" s="483">
        <f>IF(O104=0,0,(VLOOKUP(A104,[2]!CCalcs,12,FALSE)))</f>
        <v>7.1955653371454955E-4</v>
      </c>
      <c r="O104" s="483">
        <f>(VLOOKUP(A104,[2]!CCalcs,4,FALSE))</f>
        <v>0.17043041728467423</v>
      </c>
      <c r="P104" s="486">
        <v>1000</v>
      </c>
      <c r="Q104" s="486">
        <v>10</v>
      </c>
      <c r="R104" s="483">
        <f t="shared" si="13"/>
        <v>3587.9026272617321</v>
      </c>
      <c r="S104" s="481">
        <f>IF(R104=0,0,IF(VLOOKUP(A104,[1]!TOX,52,FALSE)=0,MIN(VLOOKUP(A104,[1]!TOX,79,FALSE),R104),MIN(VLOOKUP(A104,[1]!TOX,79,FALSE),R104,(VLOOKUP(A104,[1]!TOX,52,FALSE)))))</f>
        <v>3587.9026272617321</v>
      </c>
      <c r="T104" s="485" t="str">
        <f>IF(R104=0,0,IF(R104=S104,M104,IF(S104=(VLOOKUP(A104,[1]!TOX,52,FALSE)),"Greater than Solubility","Ceiling Value")))</f>
        <v>Background Indoor Air</v>
      </c>
      <c r="U104" s="480">
        <f>IF(R104=0,0,IF(AND([1]Toxicity!$AZ100&gt;0,R104&gt;[1]Toxicity!$AZ100,[1]Toxicity!$AZ100&lt;[1]Toxicity!$CA100),0,MAX(S104,[1]Toxicity!AY100,[1]Toxicity!AN100)))</f>
        <v>3587.9026272617321</v>
      </c>
      <c r="V104" s="487">
        <f>ROUND(U104,-INT(LOG10(ABS(U104))))</f>
        <v>4000</v>
      </c>
      <c r="W104" s="488" t="str">
        <f>IF(R104=0,"NA",IF(U104=0,"NA, &gt; Solubility",IF(U104=S104,T104,IF(U104=(VLOOKUP(A104,[1]!TOX,40,FALSE)),"Groundwater Background","Water PQL"))))</f>
        <v>Background Indoor Air</v>
      </c>
    </row>
    <row r="105" spans="1:23" ht="20" x14ac:dyDescent="0.25">
      <c r="A105" s="479" t="s">
        <v>1056</v>
      </c>
      <c r="B105" s="480">
        <f>(VLOOKUP(A105,[1]!TOX,8,FALSE)*'[1]Target Risk'!$D$8*'GW-2 Exp'!$G$18*'GW-2 Exp'!$E$18)</f>
        <v>10.000000000000002</v>
      </c>
      <c r="C105" s="481">
        <f>IF(VLOOKUP(A105,[1]!TOX,15,FALSE)=0,0,'[1]Target Risk'!$D$12/(VLOOKUP(A105,[1]!TOX,15,FALSE))*'GW-2 Exp'!$G$26)</f>
        <v>0</v>
      </c>
      <c r="D105" s="480">
        <f>IF(VLOOKUP(A105,[1]!TOX,15,FALSE)=0,0,IF(VLOOKUP(A105,[1]!TOX,36,FALSE)="M",'[1]Target Risk'!$D$12/((VLOOKUP(A105,[1]!TOX,15,FALSE))*(1*('GW-2 Exp'!$H$34))),0))</f>
        <v>0</v>
      </c>
      <c r="E105" s="482">
        <f>IF(VLOOKUP(A105,[1]!TOX,15,FALSE)=0,0,IF(VLOOKUP(A105,[1]!TOX,36,FALSE)="M",'[1]Target Risk'!$D$12/((VLOOKUP(A105,[1]!TOX,15,FALSE))*(1*('GW-2 Exp'!$H$34))),'[1]Target Risk'!$D$12/(VLOOKUP(A105,[1]!TOX,15,FALSE))*'GW-2 Exp'!$G$26))</f>
        <v>0</v>
      </c>
      <c r="F105" s="481">
        <f t="shared" si="14"/>
        <v>10.000000000000002</v>
      </c>
      <c r="G105" s="480" t="str">
        <f t="shared" si="15"/>
        <v>Noncancer</v>
      </c>
      <c r="H105" s="486">
        <f>0.5*(VLOOKUP(A105,[1]!TOX,46,FALSE))</f>
        <v>0</v>
      </c>
      <c r="I105" s="480">
        <f t="shared" si="21"/>
        <v>10.000000000000002</v>
      </c>
      <c r="J105" s="480" t="str">
        <f t="shared" si="22"/>
        <v>Noncancer</v>
      </c>
      <c r="K105" s="484">
        <f>(VLOOKUP(A105,[1]!TOX,41,FALSE))</f>
        <v>50</v>
      </c>
      <c r="L105" s="481">
        <f t="shared" si="23"/>
        <v>50</v>
      </c>
      <c r="M105" s="485" t="str">
        <f t="shared" si="24"/>
        <v>Background Indoor Air</v>
      </c>
      <c r="N105" s="483">
        <f>IF(O105=0,0,(VLOOKUP(A105,[2]!CCalcs,12,FALSE)))</f>
        <v>6.7723075599586749E-4</v>
      </c>
      <c r="O105" s="483">
        <f>(VLOOKUP(A105,[2]!CCalcs,4,FALSE))</f>
        <v>1.5493674298606746E-2</v>
      </c>
      <c r="P105" s="486">
        <v>1000</v>
      </c>
      <c r="Q105" s="486">
        <v>10</v>
      </c>
      <c r="R105" s="483">
        <f t="shared" si="13"/>
        <v>47651.755973142986</v>
      </c>
      <c r="S105" s="481">
        <f>IF(R105=0,0,IF(VLOOKUP(A105,[1]!TOX,52,FALSE)=0,MIN(VLOOKUP(A105,[1]!TOX,79,FALSE),R105),MIN(VLOOKUP(A105,[1]!TOX,79,FALSE),R105,(VLOOKUP(A105,[1]!TOX,52,FALSE)))))</f>
        <v>5800</v>
      </c>
      <c r="T105" s="485" t="str">
        <f>IF(R105=0,0,IF(R105=S105,M105,IF(S105=(VLOOKUP(A105,[1]!TOX,52,FALSE)),"Greater than Solubility","Ceiling Value")))</f>
        <v>Greater than Solubility</v>
      </c>
      <c r="U105" s="480">
        <f>IF(R105=0,0,IF(AND([1]Toxicity!$AZ101&gt;0,R105&gt;[1]Toxicity!$AZ101,[1]Toxicity!$AZ101&lt;[1]Toxicity!$CA101),0,MAX(S105,[1]Toxicity!AY101,[1]Toxicity!AN101)))</f>
        <v>0</v>
      </c>
      <c r="V105" s="487">
        <v>50000</v>
      </c>
      <c r="W105" s="488" t="s">
        <v>887</v>
      </c>
    </row>
    <row r="106" spans="1:23" x14ac:dyDescent="0.25">
      <c r="A106" s="479" t="s">
        <v>239</v>
      </c>
      <c r="B106" s="480">
        <f>(VLOOKUP(A106,[1]!TOX,8,FALSE)*'[1]Target Risk'!$D$8*'GW-2 Exp'!$G$18*'GW-2 Exp'!$E$18)</f>
        <v>10.000000000000002</v>
      </c>
      <c r="C106" s="481">
        <f>IF(VLOOKUP(A106,[1]!TOX,15,FALSE)=0,0,'[1]Target Risk'!$D$12/(VLOOKUP(A106,[1]!TOX,15,FALSE))*'GW-2 Exp'!$G$26)</f>
        <v>0</v>
      </c>
      <c r="D106" s="480">
        <f>IF(VLOOKUP(A106,[1]!TOX,15,FALSE)=0,0,IF(VLOOKUP(A106,[1]!TOX,36,FALSE)="M",'[1]Target Risk'!$D$12/((VLOOKUP(A106,[1]!TOX,15,FALSE))*(1*('GW-2 Exp'!$H$34))),0))</f>
        <v>0</v>
      </c>
      <c r="E106" s="482">
        <f>IF(VLOOKUP(A106,[1]!TOX,15,FALSE)=0,0,IF(VLOOKUP(A106,[1]!TOX,36,FALSE)="M",'[1]Target Risk'!$D$12/((VLOOKUP(A106,[1]!TOX,15,FALSE))*(1*('GW-2 Exp'!$H$34))),'[1]Target Risk'!$D$12/(VLOOKUP(A106,[1]!TOX,15,FALSE))*'GW-2 Exp'!$G$26))</f>
        <v>0</v>
      </c>
      <c r="F106" s="481">
        <f t="shared" si="14"/>
        <v>10.000000000000002</v>
      </c>
      <c r="G106" s="480" t="str">
        <f t="shared" si="15"/>
        <v>Noncancer</v>
      </c>
      <c r="H106" s="486">
        <f>0.5*(VLOOKUP(A106,[1]!TOX,46,FALSE))</f>
        <v>27.5</v>
      </c>
      <c r="I106" s="480">
        <f t="shared" si="9"/>
        <v>10.000000000000002</v>
      </c>
      <c r="J106" s="480" t="str">
        <f t="shared" si="10"/>
        <v>Noncancer</v>
      </c>
      <c r="K106" s="484">
        <f>(VLOOKUP(A106,[1]!TOX,41,FALSE))</f>
        <v>0</v>
      </c>
      <c r="L106" s="481">
        <f t="shared" si="11"/>
        <v>10.000000000000002</v>
      </c>
      <c r="M106" s="485" t="str">
        <f t="shared" si="12"/>
        <v>Noncancer</v>
      </c>
      <c r="N106" s="483">
        <f>IF(O106=0,0,(VLOOKUP(A106,[2]!CCalcs,12,FALSE)))</f>
        <v>7.9191009194142696E-4</v>
      </c>
      <c r="O106" s="483">
        <f>(VLOOKUP(A106,[2]!CCalcs,4,FALSE))</f>
        <v>3.5119016984176563E-4</v>
      </c>
      <c r="P106" s="486">
        <v>1000</v>
      </c>
      <c r="Q106" s="486">
        <v>1</v>
      </c>
      <c r="R106" s="483">
        <f t="shared" si="13"/>
        <v>35956.861012087502</v>
      </c>
      <c r="S106" s="481">
        <f>IF(R106=0,0,IF(VLOOKUP(A106,[1]!TOX,52,FALSE)=0,MIN(VLOOKUP(A106,[1]!TOX,79,FALSE),R106),MIN(VLOOKUP(A106,[1]!TOX,79,FALSE),R106,(VLOOKUP(A106,[1]!TOX,52,FALSE)))))</f>
        <v>1150</v>
      </c>
      <c r="T106" s="485" t="str">
        <f>IF(R106=0,0,IF(R106=S106,M106,IF(S106=(VLOOKUP(A106,[1]!TOX,52,FALSE)),"Greater than Solubility","Ceiling Value")))</f>
        <v>Greater than Solubility</v>
      </c>
      <c r="U106" s="480">
        <f>IF(R106=0,0,IF(AND([1]Toxicity!$AZ102&gt;0,R106&gt;[1]Toxicity!$AZ102,[1]Toxicity!$AZ102&lt;[1]Toxicity!$CA102),0,MAX(S106,[1]Toxicity!AY102,[1]Toxicity!AN102)))</f>
        <v>0</v>
      </c>
      <c r="V106" s="487"/>
      <c r="W106" s="488" t="str">
        <f>IF(R106=0,"NA",IF(U106=0,"NA, &gt; Solubility",IF(U106=S106,T106,IF(U106=(VLOOKUP(A106,[1]!TOX,40,FALSE)),"Groundwater Background","Water PQL"))))</f>
        <v>NA, &gt; Solubility</v>
      </c>
    </row>
    <row r="107" spans="1:23" x14ac:dyDescent="0.25">
      <c r="A107" s="479" t="s">
        <v>240</v>
      </c>
      <c r="B107" s="480">
        <f>(VLOOKUP(A107,[1]!TOX,8,FALSE)*'[1]Target Risk'!$D$8*'GW-2 Exp'!$G$18*'GW-2 Exp'!$E$18)</f>
        <v>52.000000000000007</v>
      </c>
      <c r="C107" s="481">
        <f>IF(VLOOKUP(A107,[1]!TOX,15,FALSE)=0,0,'[1]Target Risk'!$D$12/(VLOOKUP(A107,[1]!TOX,15,FALSE))*'GW-2 Exp'!$G$26)</f>
        <v>0</v>
      </c>
      <c r="D107" s="480">
        <f>IF(VLOOKUP(A107,[1]!TOX,15,FALSE)=0,0,IF(VLOOKUP(A107,[1]!TOX,36,FALSE)="M",'[1]Target Risk'!$D$12/((VLOOKUP(A107,[1]!TOX,15,FALSE))*(1*('GW-2 Exp'!$H$34))),0))</f>
        <v>0</v>
      </c>
      <c r="E107" s="482">
        <f>IF(VLOOKUP(A107,[1]!TOX,15,FALSE)=0,0,IF(VLOOKUP(A107,[1]!TOX,36,FALSE)="M",'[1]Target Risk'!$D$12/((VLOOKUP(A107,[1]!TOX,15,FALSE))*(1*('GW-2 Exp'!$H$34))),'[1]Target Risk'!$D$12/(VLOOKUP(A107,[1]!TOX,15,FALSE))*'GW-2 Exp'!$G$26))</f>
        <v>0</v>
      </c>
      <c r="F107" s="481">
        <f t="shared" si="14"/>
        <v>52.000000000000007</v>
      </c>
      <c r="G107" s="480" t="str">
        <f t="shared" si="15"/>
        <v>Noncancer</v>
      </c>
      <c r="H107" s="486">
        <f>0.5*(VLOOKUP(A107,[1]!TOX,46,FALSE))</f>
        <v>78.400000000000006</v>
      </c>
      <c r="I107" s="480">
        <f t="shared" si="9"/>
        <v>52.000000000000007</v>
      </c>
      <c r="J107" s="480" t="str">
        <f t="shared" si="10"/>
        <v>Noncancer</v>
      </c>
      <c r="K107" s="484">
        <f>(VLOOKUP(A107,[1]!TOX,41,FALSE))</f>
        <v>0</v>
      </c>
      <c r="L107" s="481">
        <f t="shared" si="11"/>
        <v>52.000000000000007</v>
      </c>
      <c r="M107" s="485" t="str">
        <f t="shared" si="12"/>
        <v>Noncancer</v>
      </c>
      <c r="N107" s="483">
        <f>IF(O107=0,0,(VLOOKUP(A107,[2]!CCalcs,12,FALSE)))</f>
        <v>1.1257527247352257E-3</v>
      </c>
      <c r="O107" s="483">
        <f>(VLOOKUP(A107,[2]!CCalcs,4,FALSE))</f>
        <v>4.3497075402318726E-6</v>
      </c>
      <c r="P107" s="486">
        <v>1000</v>
      </c>
      <c r="Q107" s="486">
        <v>1</v>
      </c>
      <c r="R107" s="483">
        <f t="shared" si="13"/>
        <v>10619407.330139952</v>
      </c>
      <c r="S107" s="481">
        <f>IF(R107=0,0,IF(VLOOKUP(A107,[1]!TOX,52,FALSE)=0,MIN(VLOOKUP(A107,[1]!TOX,79,FALSE),R107),MIN(VLOOKUP(A107,[1]!TOX,79,FALSE),R107,(VLOOKUP(A107,[1]!TOX,52,FALSE)))))</f>
        <v>50000</v>
      </c>
      <c r="T107" s="485" t="str">
        <f>IF(R107=0,0,IF(R107=S107,M107,IF(S107=(VLOOKUP(A107,[1]!TOX,52,FALSE)),"Greater than Solubility","Ceiling Value")))</f>
        <v>Ceiling Value</v>
      </c>
      <c r="U107" s="480">
        <f>IF(R107=0,0,IF(AND([1]Toxicity!$AZ103&gt;0,R107&gt;[1]Toxicity!$AZ103,[1]Toxicity!$AZ103&lt;[1]Toxicity!$CA103),0,MAX(S107,[1]Toxicity!AY103,[1]Toxicity!AN103)))</f>
        <v>50000</v>
      </c>
      <c r="V107" s="487">
        <f>ROUND(U107,-INT(LOG10(ABS(U107))))</f>
        <v>50000</v>
      </c>
      <c r="W107" s="488" t="str">
        <f>IF(R107=0,"NA",IF(U107=0,"NA, &gt; Solubility",IF(U107=S107,T107,IF(U107=(VLOOKUP(A107,[1]!TOX,40,FALSE)),"Groundwater Background","Water PQL"))))</f>
        <v>Ceiling Value</v>
      </c>
    </row>
    <row r="108" spans="1:23" x14ac:dyDescent="0.25">
      <c r="A108" s="479" t="s">
        <v>241</v>
      </c>
      <c r="B108" s="480">
        <f>(VLOOKUP(A108,[1]!TOX,8,FALSE)*'[1]Target Risk'!$D$8*'GW-2 Exp'!$G$18*'GW-2 Exp'!$E$18)</f>
        <v>4.000000000000001E-3</v>
      </c>
      <c r="C108" s="481">
        <f>IF(VLOOKUP(A108,[1]!TOX,15,FALSE)=0,0,'[1]Target Risk'!$D$12/(VLOOKUP(A108,[1]!TOX,15,FALSE))*'GW-2 Exp'!$G$26)</f>
        <v>2.3333333333333331E-2</v>
      </c>
      <c r="D108" s="480">
        <f>IF(VLOOKUP(A108,[1]!TOX,15,FALSE)=0,0,IF(VLOOKUP(A108,[1]!TOX,36,FALSE)="M",'[1]Target Risk'!$D$12/((VLOOKUP(A108,[1]!TOX,15,FALSE))*(1*('GW-2 Exp'!$H$34))),0))</f>
        <v>0</v>
      </c>
      <c r="E108" s="482">
        <f>IF(VLOOKUP(A108,[1]!TOX,15,FALSE)=0,0,IF(VLOOKUP(A108,[1]!TOX,36,FALSE)="M",'[1]Target Risk'!$D$12/((VLOOKUP(A108,[1]!TOX,15,FALSE))*(1*('GW-2 Exp'!$H$34))),'[1]Target Risk'!$D$12/(VLOOKUP(A108,[1]!TOX,15,FALSE))*'GW-2 Exp'!$G$26))</f>
        <v>2.3333333333333331E-2</v>
      </c>
      <c r="F108" s="481">
        <f t="shared" si="14"/>
        <v>4.000000000000001E-3</v>
      </c>
      <c r="G108" s="480" t="str">
        <f t="shared" si="15"/>
        <v>Noncancer</v>
      </c>
      <c r="H108" s="486">
        <f>0.5*(VLOOKUP(A108,[1]!TOX,46,FALSE))</f>
        <v>0</v>
      </c>
      <c r="I108" s="480">
        <f t="shared" si="9"/>
        <v>4.000000000000001E-3</v>
      </c>
      <c r="J108" s="480" t="str">
        <f t="shared" si="10"/>
        <v>Noncancer</v>
      </c>
      <c r="K108" s="484">
        <f>(VLOOKUP(A108,[1]!TOX,41,FALSE))</f>
        <v>0</v>
      </c>
      <c r="L108" s="481">
        <f t="shared" si="11"/>
        <v>4.000000000000001E-3</v>
      </c>
      <c r="M108" s="485" t="str">
        <f t="shared" si="12"/>
        <v>Noncancer</v>
      </c>
      <c r="N108" s="483">
        <f>IF(O108=0,0,(VLOOKUP(A108,[2]!CCalcs,12,FALSE)))</f>
        <v>3.7193443104038365E-4</v>
      </c>
      <c r="O108" s="483">
        <f>(VLOOKUP(A108,[2]!CCalcs,4,FALSE))</f>
        <v>1.9853084311355143E-3</v>
      </c>
      <c r="P108" s="486">
        <v>1000</v>
      </c>
      <c r="Q108" s="486">
        <v>1</v>
      </c>
      <c r="R108" s="483">
        <f t="shared" si="13"/>
        <v>5.4170846268741153</v>
      </c>
      <c r="S108" s="481">
        <f>IF(R108=0,0,IF(VLOOKUP(A108,[1]!TOX,52,FALSE)=0,MIN(VLOOKUP(A108,[1]!TOX,79,FALSE),R108),MIN(VLOOKUP(A108,[1]!TOX,79,FALSE),R108,(VLOOKUP(A108,[1]!TOX,52,FALSE)))))</f>
        <v>5.4170846268741153</v>
      </c>
      <c r="T108" s="485" t="str">
        <f>IF(R108=0,0,IF(R108=S108,M108,IF(S108=(VLOOKUP(A108,[1]!TOX,52,FALSE)),"Greater than Solubility","Ceiling Value")))</f>
        <v>Noncancer</v>
      </c>
      <c r="U108" s="480">
        <f>IF(R108=0,0,IF(AND([1]Toxicity!$AZ104&gt;0,R108&gt;[1]Toxicity!$AZ104,[1]Toxicity!$AZ104&lt;[1]Toxicity!$CA104),0,MAX(S108,[1]Toxicity!AY104,[1]Toxicity!AN104)))</f>
        <v>5.4170846268741153</v>
      </c>
      <c r="V108" s="487">
        <f>ROUND(U108,-INT(LOG10(ABS(U108))))</f>
        <v>5</v>
      </c>
      <c r="W108" s="488" t="str">
        <f>IF(R108=0,"NA",IF(U108=0,"NA, &gt; Solubility",IF(U108=S108,T108,IF(U108=(VLOOKUP(A108,[1]!TOX,40,FALSE)),"Groundwater Background","Water PQL"))))</f>
        <v>Noncancer</v>
      </c>
    </row>
    <row r="109" spans="1:23" x14ac:dyDescent="0.25">
      <c r="A109" s="479" t="s">
        <v>242</v>
      </c>
      <c r="B109" s="480">
        <f>(VLOOKUP(A109,[1]!TOX,8,FALSE)*'[1]Target Risk'!$D$8*'GW-2 Exp'!$G$18*'GW-2 Exp'!$E$18)</f>
        <v>10.000000000000002</v>
      </c>
      <c r="C109" s="481">
        <f>IF(VLOOKUP(A109,[1]!TOX,15,FALSE)=0,0,'[1]Target Risk'!$D$12/(VLOOKUP(A109,[1]!TOX,15,FALSE))*'GW-2 Exp'!$G$26)</f>
        <v>0</v>
      </c>
      <c r="D109" s="480">
        <f>IF(VLOOKUP(A109,[1]!TOX,15,FALSE)=0,0,IF(VLOOKUP(A109,[1]!TOX,36,FALSE)="M",'[1]Target Risk'!$D$12/((VLOOKUP(A109,[1]!TOX,15,FALSE))*(1*('GW-2 Exp'!$H$34))),0))</f>
        <v>0</v>
      </c>
      <c r="E109" s="482">
        <f>IF(VLOOKUP(A109,[1]!TOX,15,FALSE)=0,0,IF(VLOOKUP(A109,[1]!TOX,36,FALSE)="M",'[1]Target Risk'!$D$12/((VLOOKUP(A109,[1]!TOX,15,FALSE))*(1*('GW-2 Exp'!$H$34))),'[1]Target Risk'!$D$12/(VLOOKUP(A109,[1]!TOX,15,FALSE))*'GW-2 Exp'!$G$26))</f>
        <v>0</v>
      </c>
      <c r="F109" s="481">
        <f t="shared" si="14"/>
        <v>10.000000000000002</v>
      </c>
      <c r="G109" s="480" t="str">
        <f t="shared" si="15"/>
        <v>Noncancer</v>
      </c>
      <c r="H109" s="486">
        <f>0.5*(VLOOKUP(A109,[1]!TOX,46,FALSE))</f>
        <v>0</v>
      </c>
      <c r="I109" s="480">
        <f t="shared" si="9"/>
        <v>10.000000000000002</v>
      </c>
      <c r="J109" s="480" t="str">
        <f t="shared" si="10"/>
        <v>Noncancer</v>
      </c>
      <c r="K109" s="484">
        <f>(VLOOKUP(A109,[1]!TOX,41,FALSE))</f>
        <v>0</v>
      </c>
      <c r="L109" s="481">
        <f t="shared" si="11"/>
        <v>10.000000000000002</v>
      </c>
      <c r="M109" s="485" t="str">
        <f t="shared" si="12"/>
        <v>Noncancer</v>
      </c>
      <c r="N109" s="483">
        <f>IF(O109=0,0,(VLOOKUP(A109,[2]!CCalcs,12,FALSE)))</f>
        <v>9.5444904732837506E-4</v>
      </c>
      <c r="O109" s="483">
        <f>(VLOOKUP(A109,[2]!CCalcs,4,FALSE))</f>
        <v>8.0464729986161912E-5</v>
      </c>
      <c r="P109" s="486">
        <v>1000</v>
      </c>
      <c r="Q109" s="486">
        <v>1</v>
      </c>
      <c r="R109" s="483">
        <f t="shared" si="13"/>
        <v>130209.20668644873</v>
      </c>
      <c r="S109" s="481">
        <f>IF(R109=0,0,IF(VLOOKUP(A109,[1]!TOX,52,FALSE)=0,MIN(VLOOKUP(A109,[1]!TOX,79,FALSE),R109),MIN(VLOOKUP(A109,[1]!TOX,79,FALSE),R109,(VLOOKUP(A109,[1]!TOX,52,FALSE)))))</f>
        <v>135</v>
      </c>
      <c r="T109" s="485" t="str">
        <f>IF(R109=0,0,IF(R109=S109,M109,IF(S109=(VLOOKUP(A109,[1]!TOX,52,FALSE)),"Greater than Solubility","Ceiling Value")))</f>
        <v>Greater than Solubility</v>
      </c>
      <c r="U109" s="480">
        <f>IF(R109=0,0,IF(AND([1]Toxicity!$AZ105&gt;0,R109&gt;[1]Toxicity!$AZ105,[1]Toxicity!$AZ105&lt;[1]Toxicity!$CA105),0,MAX(S109,[1]Toxicity!AY105,[1]Toxicity!AN105)))</f>
        <v>0</v>
      </c>
      <c r="V109" s="487"/>
      <c r="W109" s="488" t="str">
        <f>IF(R109=0,"NA",IF(U109=0,"NA, &gt; Solubility",IF(U109=S109,T109,IF(U109=(VLOOKUP(A109,[1]!TOX,40,FALSE)),"Groundwater Background","Water PQL"))))</f>
        <v>NA, &gt; Solubility</v>
      </c>
    </row>
    <row r="110" spans="1:23" x14ac:dyDescent="0.25">
      <c r="A110" s="479" t="s">
        <v>433</v>
      </c>
      <c r="B110" s="480">
        <f>(VLOOKUP(A110,[1]!TOX,8,FALSE)*'[1]Target Risk'!$D$8*'GW-2 Exp'!$G$18*'GW-2 Exp'!$E$18)</f>
        <v>2.2000000000000002</v>
      </c>
      <c r="C110" s="481">
        <f>IF(VLOOKUP(A110,[1]!TOX,15,FALSE)=0,0,'[1]Target Risk'!$D$12/(VLOOKUP(A110,[1]!TOX,15,FALSE))*'GW-2 Exp'!$G$26)</f>
        <v>7.4242424242424235E-2</v>
      </c>
      <c r="D110" s="480">
        <f>IF(VLOOKUP(A110,[1]!TOX,15,FALSE)=0,0,IF(VLOOKUP(A110,[1]!TOX,36,FALSE)="M",'[1]Target Risk'!$D$12/((VLOOKUP(A110,[1]!TOX,15,FALSE))*(1*('GW-2 Exp'!$H$34))),0))</f>
        <v>0</v>
      </c>
      <c r="E110" s="482">
        <f>IF(VLOOKUP(A110,[1]!TOX,15,FALSE)=0,0,IF(VLOOKUP(A110,[1]!TOX,36,FALSE)="M",'[1]Target Risk'!$D$12/((VLOOKUP(A110,[1]!TOX,15,FALSE))*(1*('GW-2 Exp'!$H$34))),'[1]Target Risk'!$D$12/(VLOOKUP(A110,[1]!TOX,15,FALSE))*'GW-2 Exp'!$G$26))</f>
        <v>7.4242424242424235E-2</v>
      </c>
      <c r="F110" s="481">
        <f t="shared" si="14"/>
        <v>7.4242424242424235E-2</v>
      </c>
      <c r="G110" s="480" t="str">
        <f t="shared" si="15"/>
        <v>Cancer</v>
      </c>
      <c r="H110" s="486">
        <f>0.5*(VLOOKUP(A110,[1]!TOX,46,FALSE))</f>
        <v>0</v>
      </c>
      <c r="I110" s="480">
        <f>IF(F110=0,H110,IF(H110=0,F110,MIN(F110,H110)))</f>
        <v>7.4242424242424235E-2</v>
      </c>
      <c r="J110" s="480" t="str">
        <f>IF(I110=0,0,IF(I110=H110,"50% Odor Threshold",G110))</f>
        <v>Cancer</v>
      </c>
      <c r="K110" s="484">
        <f>(VLOOKUP(A110,[1]!TOX,41,FALSE))</f>
        <v>0</v>
      </c>
      <c r="L110" s="481">
        <f>MAX(K110,I110)</f>
        <v>7.4242424242424235E-2</v>
      </c>
      <c r="M110" s="485" t="str">
        <f>IF(L110=0,0,IF(L110=K110,"Background Indoor Air",J110))</f>
        <v>Cancer</v>
      </c>
      <c r="N110" s="483">
        <f>IF(O110=0,0,(VLOOKUP(A110,[2]!CCalcs,12,FALSE)))</f>
        <v>1.1160668379447453E-3</v>
      </c>
      <c r="O110" s="483">
        <f>(VLOOKUP(A110,[2]!CCalcs,4,FALSE))</f>
        <v>1.3600002995443699E-6</v>
      </c>
      <c r="P110" s="486">
        <v>1000</v>
      </c>
      <c r="Q110" s="486">
        <v>1</v>
      </c>
      <c r="R110" s="483">
        <f t="shared" si="13"/>
        <v>48912.846386705758</v>
      </c>
      <c r="S110" s="481">
        <f>IF(R110=0,0,IF(VLOOKUP(A110,[1]!TOX,52,FALSE)=0,MIN(VLOOKUP(A110,[1]!TOX,79,FALSE),R110),MIN(VLOOKUP(A110,[1]!TOX,79,FALSE),R110,(VLOOKUP(A110,[1]!TOX,52,FALSE)))))</f>
        <v>48912.846386705758</v>
      </c>
      <c r="T110" s="485" t="str">
        <f>IF(R110=0,0,IF(R110=S110,M110,IF(S110=(VLOOKUP(A110,[1]!TOX,52,FALSE)),"Greater than Solubility","Ceiling Value")))</f>
        <v>Cancer</v>
      </c>
      <c r="U110" s="480">
        <f>IF(R110=0,0,IF(AND([1]Toxicity!$AZ106&gt;0,R110&gt;[1]Toxicity!$AZ106,[1]Toxicity!$AZ106&lt;[1]Toxicity!$CA106),0,MAX(S110,[1]Toxicity!AY106,[1]Toxicity!AN106)))</f>
        <v>48912.846386705758</v>
      </c>
      <c r="V110" s="487">
        <f>ROUND(U110,-INT(LOG10(ABS(U110))))</f>
        <v>50000</v>
      </c>
      <c r="W110" s="488" t="str">
        <f>IF(R110=0,"NA",IF(U110=0,"NA, &gt; Solubility",IF(U110=S110,T110,IF(U110=(VLOOKUP(A110,[1]!TOX,40,FALSE)),"Groundwater Background","Water PQL"))))</f>
        <v>Cancer</v>
      </c>
    </row>
    <row r="111" spans="1:23" x14ac:dyDescent="0.25">
      <c r="A111" s="479" t="s">
        <v>243</v>
      </c>
      <c r="B111" s="480">
        <f>(VLOOKUP(A111,[1]!TOX,8,FALSE)*'[1]Target Risk'!$D$8*'GW-2 Exp'!$G$18*'GW-2 Exp'!$E$18)</f>
        <v>0.60000000000000009</v>
      </c>
      <c r="C111" s="481">
        <f>IF(VLOOKUP(A111,[1]!TOX,15,FALSE)=0,0,'[1]Target Risk'!$D$12/(VLOOKUP(A111,[1]!TOX,15,FALSE))*'GW-2 Exp'!$G$26)</f>
        <v>0</v>
      </c>
      <c r="D111" s="480">
        <f>IF(VLOOKUP(A111,[1]!TOX,15,FALSE)=0,0,IF(VLOOKUP(A111,[1]!TOX,36,FALSE)="M",'[1]Target Risk'!$D$12/((VLOOKUP(A111,[1]!TOX,15,FALSE))*(1*('GW-2 Exp'!$H$34))),0))</f>
        <v>0</v>
      </c>
      <c r="E111" s="482">
        <f>IF(VLOOKUP(A111,[1]!TOX,15,FALSE)=0,0,IF(VLOOKUP(A111,[1]!TOX,36,FALSE)="M",'[1]Target Risk'!$D$12/((VLOOKUP(A111,[1]!TOX,15,FALSE))*(1*('GW-2 Exp'!$H$34))),'[1]Target Risk'!$D$12/(VLOOKUP(A111,[1]!TOX,15,FALSE))*'GW-2 Exp'!$G$26))</f>
        <v>0</v>
      </c>
      <c r="F111" s="481">
        <f t="shared" si="14"/>
        <v>0.60000000000000009</v>
      </c>
      <c r="G111" s="480" t="str">
        <f t="shared" si="15"/>
        <v>Noncancer</v>
      </c>
      <c r="H111" s="486">
        <f>0.5*(VLOOKUP(A111,[1]!TOX,46,FALSE))</f>
        <v>0</v>
      </c>
      <c r="I111" s="480">
        <f t="shared" si="9"/>
        <v>0.60000000000000009</v>
      </c>
      <c r="J111" s="480" t="str">
        <f t="shared" si="10"/>
        <v>Noncancer</v>
      </c>
      <c r="K111" s="484">
        <f>(VLOOKUP(A111,[1]!TOX,41,FALSE))</f>
        <v>0</v>
      </c>
      <c r="L111" s="481">
        <f t="shared" si="11"/>
        <v>0.60000000000000009</v>
      </c>
      <c r="M111" s="485" t="str">
        <f t="shared" si="12"/>
        <v>Noncancer</v>
      </c>
      <c r="N111" s="483">
        <f>IF(O111=0,0,(VLOOKUP(A111,[2]!CCalcs,12,FALSE)))</f>
        <v>0</v>
      </c>
      <c r="O111" s="483">
        <f>(VLOOKUP(A111,[2]!CCalcs,4,FALSE))</f>
        <v>0</v>
      </c>
      <c r="P111" s="486">
        <v>1000</v>
      </c>
      <c r="Q111" s="486">
        <v>1</v>
      </c>
      <c r="R111" s="483">
        <f t="shared" si="13"/>
        <v>0</v>
      </c>
      <c r="S111" s="481">
        <f>IF(R111=0,0,IF(VLOOKUP(A111,[1]!TOX,52,FALSE)=0,MIN(VLOOKUP(A111,[1]!TOX,79,FALSE),R111),MIN(VLOOKUP(A111,[1]!TOX,79,FALSE),R111,(VLOOKUP(A111,[1]!TOX,52,FALSE)))))</f>
        <v>0</v>
      </c>
      <c r="T111" s="485">
        <f>IF(R111=0,0,IF(R111=S111,M111,IF(S111=(VLOOKUP(A111,[1]!TOX,52,FALSE)),"Greater than Solubility","Ceiling Value")))</f>
        <v>0</v>
      </c>
      <c r="U111" s="480">
        <f>IF(R111=0,0,IF(AND([1]Toxicity!$AZ107&gt;0,R111&gt;[1]Toxicity!$AZ107,[1]Toxicity!$AZ107&lt;[1]Toxicity!$CA107),0,MAX(S111,[1]Toxicity!AY107,[1]Toxicity!AN107)))</f>
        <v>0</v>
      </c>
      <c r="V111" s="487">
        <f>U111</f>
        <v>0</v>
      </c>
      <c r="W111" s="488" t="str">
        <f>IF(R111=0,"NA",IF(U111=0,"NA, &gt; Solubility",IF(U111=S111,T111,IF(U111=(VLOOKUP(A111,[1]!TOX,40,FALSE)),"Groundwater Background","Water PQL"))))</f>
        <v>NA</v>
      </c>
    </row>
    <row r="112" spans="1:23" x14ac:dyDescent="0.25">
      <c r="A112" s="479" t="s">
        <v>244</v>
      </c>
      <c r="B112" s="480">
        <f>(VLOOKUP(A112,[1]!TOX,8,FALSE)*'[1]Target Risk'!$D$8*'GW-2 Exp'!$G$18*'GW-2 Exp'!$E$18)</f>
        <v>2.8000000000000001E-2</v>
      </c>
      <c r="C112" s="481">
        <f>IF(VLOOKUP(A112,[1]!TOX,15,FALSE)=0,0,'[1]Target Risk'!$D$12/(VLOOKUP(A112,[1]!TOX,15,FALSE))*'GW-2 Exp'!$G$26)</f>
        <v>0</v>
      </c>
      <c r="D112" s="480">
        <f>IF(VLOOKUP(A112,[1]!TOX,15,FALSE)=0,0,IF(VLOOKUP(A112,[1]!TOX,36,FALSE)="M",'[1]Target Risk'!$D$12/((VLOOKUP(A112,[1]!TOX,15,FALSE))*(1*('GW-2 Exp'!$H$34))),0))</f>
        <v>0</v>
      </c>
      <c r="E112" s="482">
        <f>IF(VLOOKUP(A112,[1]!TOX,15,FALSE)=0,0,IF(VLOOKUP(A112,[1]!TOX,36,FALSE)="M",'[1]Target Risk'!$D$12/((VLOOKUP(A112,[1]!TOX,15,FALSE))*(1*('GW-2 Exp'!$H$34))),'[1]Target Risk'!$D$12/(VLOOKUP(A112,[1]!TOX,15,FALSE))*'GW-2 Exp'!$G$26))</f>
        <v>0</v>
      </c>
      <c r="F112" s="481">
        <f t="shared" si="14"/>
        <v>2.8000000000000001E-2</v>
      </c>
      <c r="G112" s="480" t="str">
        <f t="shared" si="15"/>
        <v>Noncancer</v>
      </c>
      <c r="H112" s="486">
        <f>0.5*(VLOOKUP(A112,[1]!TOX,46,FALSE))</f>
        <v>0</v>
      </c>
      <c r="I112" s="480">
        <f t="shared" si="9"/>
        <v>2.8000000000000001E-2</v>
      </c>
      <c r="J112" s="480" t="str">
        <f t="shared" si="10"/>
        <v>Noncancer</v>
      </c>
      <c r="K112" s="484">
        <f>(VLOOKUP(A112,[1]!TOX,41,FALSE))</f>
        <v>0</v>
      </c>
      <c r="L112" s="481">
        <f t="shared" si="11"/>
        <v>2.8000000000000001E-2</v>
      </c>
      <c r="M112" s="485" t="str">
        <f t="shared" si="12"/>
        <v>Noncancer</v>
      </c>
      <c r="N112" s="483">
        <f>IF(O112=0,0,(VLOOKUP(A112,[2]!CCalcs,12,FALSE)))</f>
        <v>0</v>
      </c>
      <c r="O112" s="483">
        <f>(VLOOKUP(A112,[2]!CCalcs,4,FALSE))</f>
        <v>0</v>
      </c>
      <c r="P112" s="486">
        <v>1000</v>
      </c>
      <c r="Q112" s="486">
        <v>1</v>
      </c>
      <c r="R112" s="483">
        <f t="shared" si="13"/>
        <v>0</v>
      </c>
      <c r="S112" s="481">
        <f>IF(R112=0,0,IF(VLOOKUP(A112,[1]!TOX,52,FALSE)=0,MIN(VLOOKUP(A112,[1]!TOX,79,FALSE),R112),MIN(VLOOKUP(A112,[1]!TOX,79,FALSE),R112,(VLOOKUP(A112,[1]!TOX,52,FALSE)))))</f>
        <v>0</v>
      </c>
      <c r="T112" s="485">
        <f>IF(R112=0,0,IF(R112=S112,M112,IF(S112=(VLOOKUP(A112,[1]!TOX,52,FALSE)),"Greater than Solubility","Ceiling Value")))</f>
        <v>0</v>
      </c>
      <c r="U112" s="480">
        <f>IF(R112=0,0,IF(AND([1]Toxicity!$AZ108&gt;0,R112&gt;[1]Toxicity!$AZ108,[1]Toxicity!$AZ108&lt;[1]Toxicity!$CA108),0,MAX(S112,[1]Toxicity!AY108,[1]Toxicity!AN108)))</f>
        <v>0</v>
      </c>
      <c r="V112" s="487">
        <f>U112</f>
        <v>0</v>
      </c>
      <c r="W112" s="488" t="str">
        <f>IF(R112=0,"NA",IF(U112=0,"NA, &gt; Solubility",IF(U112=S112,T112,IF(U112=(VLOOKUP(A112,[1]!TOX,40,FALSE)),"Groundwater Background","Water PQL"))))</f>
        <v>NA</v>
      </c>
    </row>
    <row r="113" spans="1:23" x14ac:dyDescent="0.25">
      <c r="A113" s="479" t="s">
        <v>245</v>
      </c>
      <c r="B113" s="480">
        <f>(VLOOKUP(A113,[1]!TOX,8,FALSE)*'[1]Target Risk'!$D$8*'GW-2 Exp'!$G$18*'GW-2 Exp'!$E$18)</f>
        <v>200</v>
      </c>
      <c r="C113" s="481">
        <f>IF(VLOOKUP(A113,[1]!TOX,15,FALSE)=0,0,'[1]Target Risk'!$D$12/(VLOOKUP(A113,[1]!TOX,15,FALSE))*'GW-2 Exp'!$G$26)</f>
        <v>4.0935672514619874</v>
      </c>
      <c r="D113" s="480">
        <f>IF(VLOOKUP(A113,[1]!TOX,15,FALSE)=0,0,IF(VLOOKUP(A113,[1]!TOX,36,FALSE)="M",'[1]Target Risk'!$D$12/((VLOOKUP(A113,[1]!TOX,15,FALSE))*(1*('GW-2 Exp'!$H$34))),0))</f>
        <v>0</v>
      </c>
      <c r="E113" s="482">
        <f>IF(VLOOKUP(A113,[1]!TOX,15,FALSE)=0,0,IF(VLOOKUP(A113,[1]!TOX,36,FALSE)="M",'[1]Target Risk'!$D$12/((VLOOKUP(A113,[1]!TOX,15,FALSE))*(1*('GW-2 Exp'!$H$34))),'[1]Target Risk'!$D$12/(VLOOKUP(A113,[1]!TOX,15,FALSE))*'GW-2 Exp'!$G$26))</f>
        <v>4.0935672514619874</v>
      </c>
      <c r="F113" s="481">
        <f t="shared" si="14"/>
        <v>4.0935672514619874</v>
      </c>
      <c r="G113" s="480" t="str">
        <f t="shared" si="15"/>
        <v>Cancer</v>
      </c>
      <c r="H113" s="486">
        <f>0.5*(VLOOKUP(A113,[1]!TOX,46,FALSE))</f>
        <v>680</v>
      </c>
      <c r="I113" s="480">
        <f t="shared" si="9"/>
        <v>4.0935672514619874</v>
      </c>
      <c r="J113" s="480" t="str">
        <f t="shared" si="10"/>
        <v>Cancer</v>
      </c>
      <c r="K113" s="484">
        <f>(VLOOKUP(A113,[1]!TOX,41,FALSE))</f>
        <v>1.4</v>
      </c>
      <c r="L113" s="481">
        <f t="shared" si="11"/>
        <v>4.0935672514619874</v>
      </c>
      <c r="M113" s="485" t="str">
        <f t="shared" si="12"/>
        <v>Cancer</v>
      </c>
      <c r="N113" s="483">
        <f>IF(O113=0,0,(VLOOKUP(A113,[2]!CCalcs,12,FALSE)))</f>
        <v>7.2545166327125411E-4</v>
      </c>
      <c r="O113" s="483">
        <f>(VLOOKUP(A113,[2]!CCalcs,4,FALSE))</f>
        <v>4.6493629585676606E-2</v>
      </c>
      <c r="P113" s="486">
        <v>1000</v>
      </c>
      <c r="Q113" s="486">
        <v>1</v>
      </c>
      <c r="R113" s="483">
        <f t="shared" si="13"/>
        <v>121.36682689963305</v>
      </c>
      <c r="S113" s="481">
        <f>IF(R113=0,0,IF(VLOOKUP(A113,[1]!TOX,52,FALSE)=0,MIN(VLOOKUP(A113,[1]!TOX,79,FALSE),R113),MIN(VLOOKUP(A113,[1]!TOX,79,FALSE),R113,(VLOOKUP(A113,[1]!TOX,52,FALSE)))))</f>
        <v>121.36682689963305</v>
      </c>
      <c r="T113" s="485" t="str">
        <f>IF(R113=0,0,IF(R113=S113,M113,IF(S113=(VLOOKUP(A113,[1]!TOX,52,FALSE)),"Greater than Solubility","Ceiling Value")))</f>
        <v>Cancer</v>
      </c>
      <c r="U113" s="480">
        <f>IF(R113=0,0,IF(AND([1]Toxicity!$AZ109&gt;0,R113&gt;[1]Toxicity!$AZ109,[1]Toxicity!$AZ109&lt;[1]Toxicity!$CA109),0,MAX(S113,[1]Toxicity!AY109,[1]Toxicity!AN109)))</f>
        <v>121.36682689963305</v>
      </c>
      <c r="V113" s="487">
        <f t="shared" ref="V113:V128" si="25">ROUND(U113,-INT(LOG10(ABS(U113))))</f>
        <v>100</v>
      </c>
      <c r="W113" s="488" t="str">
        <f>IF(R113=0,"NA",IF(U113=0,"NA, &gt; Solubility",IF(U113=S113,T113,IF(U113=(VLOOKUP(A113,[1]!TOX,40,FALSE)),"Groundwater Background","Water PQL"))))</f>
        <v>Cancer</v>
      </c>
    </row>
    <row r="114" spans="1:23" x14ac:dyDescent="0.25">
      <c r="A114" s="479" t="s">
        <v>320</v>
      </c>
      <c r="B114" s="480">
        <f>(VLOOKUP(A114,[1]!TOX,8,FALSE)*'[1]Target Risk'!$D$8*'GW-2 Exp'!$G$18*'GW-2 Exp'!$E$18)</f>
        <v>4.0000000000000001E-8</v>
      </c>
      <c r="C114" s="481">
        <f>IF(VLOOKUP(A114,[1]!TOX,15,FALSE)=0,0,'[1]Target Risk'!$D$12/(VLOOKUP(A114,[1]!TOX,15,FALSE))*'GW-2 Exp'!$G$26)</f>
        <v>7.070707070707072E-8</v>
      </c>
      <c r="D114" s="480">
        <f>IF(VLOOKUP(A114,[1]!TOX,15,FALSE)=0,0,IF(VLOOKUP(A114,[1]!TOX,36,FALSE)="M",'[1]Target Risk'!$D$12/((VLOOKUP(A114,[1]!TOX,15,FALSE))*(1*('GW-2 Exp'!$H$34))),0))</f>
        <v>0</v>
      </c>
      <c r="E114" s="482">
        <f>IF(VLOOKUP(A114,[1]!TOX,15,FALSE)=0,0,IF(VLOOKUP(A114,[1]!TOX,36,FALSE)="M",'[1]Target Risk'!$D$12/((VLOOKUP(A114,[1]!TOX,15,FALSE))*(1*('GW-2 Exp'!$H$34))),'[1]Target Risk'!$D$12/(VLOOKUP(A114,[1]!TOX,15,FALSE))*'GW-2 Exp'!$G$26))</f>
        <v>7.070707070707072E-8</v>
      </c>
      <c r="F114" s="481">
        <f t="shared" si="14"/>
        <v>4.0000000000000001E-8</v>
      </c>
      <c r="G114" s="480" t="str">
        <f t="shared" si="15"/>
        <v>Noncancer</v>
      </c>
      <c r="H114" s="486">
        <f>0.5*(VLOOKUP(A114,[1]!TOX,46,FALSE))</f>
        <v>0</v>
      </c>
      <c r="I114" s="480">
        <f t="shared" si="9"/>
        <v>4.0000000000000001E-8</v>
      </c>
      <c r="J114" s="480" t="str">
        <f t="shared" si="10"/>
        <v>Noncancer</v>
      </c>
      <c r="K114" s="484">
        <f>(VLOOKUP(A114,[1]!TOX,41,FALSE))</f>
        <v>0</v>
      </c>
      <c r="L114" s="481">
        <f t="shared" si="11"/>
        <v>4.0000000000000001E-8</v>
      </c>
      <c r="M114" s="485" t="str">
        <f t="shared" si="12"/>
        <v>Noncancer</v>
      </c>
      <c r="N114" s="483">
        <f>IF(O114=0,0,(VLOOKUP(A114,[2]!CCalcs,12,FALSE)))</f>
        <v>9.4435563204730731E-4</v>
      </c>
      <c r="O114" s="483">
        <f>(VLOOKUP(A114,[2]!CCalcs,4,FALSE))</f>
        <v>1.4637950696048285E-4</v>
      </c>
      <c r="P114" s="486">
        <v>1000</v>
      </c>
      <c r="Q114" s="486">
        <v>1</v>
      </c>
      <c r="R114" s="483">
        <f t="shared" si="13"/>
        <v>2.8936375835323964E-4</v>
      </c>
      <c r="S114" s="481">
        <f>IF(R114=0,0,IF(VLOOKUP(A114,[1]!TOX,52,FALSE)=0,MIN(VLOOKUP(A114,[1]!TOX,79,FALSE),R114),MIN(VLOOKUP(A114,[1]!TOX,79,FALSE),R114,(VLOOKUP(A114,[1]!TOX,52,FALSE)))))</f>
        <v>2.8936375835323964E-4</v>
      </c>
      <c r="T114" s="485" t="str">
        <f>IF(R114=0,0,IF(R114=S114,M114,IF(S114=(VLOOKUP(A114,[1]!TOX,52,FALSE)),"Greater than Solubility","Ceiling Value")))</f>
        <v>Noncancer</v>
      </c>
      <c r="U114" s="480">
        <f>IF(R114=0,0,IF(AND([1]Toxicity!$AZ110&gt;0,R114&gt;[1]Toxicity!$AZ110,[1]Toxicity!$AZ110&lt;[1]Toxicity!$CA110),0,MAX(S114,[1]Toxicity!AY110,[1]Toxicity!AN110)))</f>
        <v>2.8936375835323964E-4</v>
      </c>
      <c r="V114" s="487">
        <f t="shared" si="25"/>
        <v>2.9999999999999997E-4</v>
      </c>
      <c r="W114" s="488" t="str">
        <f>IF(R114=0,"NA",IF(U114=0,"NA, &gt; Solubility",IF(U114=S114,T114,IF(U114=(VLOOKUP(A114,[1]!TOX,40,FALSE)),"Groundwater Background","Water PQL"))))</f>
        <v>Noncancer</v>
      </c>
    </row>
    <row r="115" spans="1:23" x14ac:dyDescent="0.25">
      <c r="A115" s="479" t="s">
        <v>246</v>
      </c>
      <c r="B115" s="480">
        <f>(VLOOKUP(A115,[1]!TOX,8,FALSE)*'[1]Target Risk'!$D$8*'GW-2 Exp'!$G$18*'GW-2 Exp'!$E$18)</f>
        <v>22.000000000000004</v>
      </c>
      <c r="C115" s="481">
        <f>IF(VLOOKUP(A115,[1]!TOX,15,FALSE)=0,0,'[1]Target Risk'!$D$12/(VLOOKUP(A115,[1]!TOX,15,FALSE))*'GW-2 Exp'!$G$26)</f>
        <v>0.31531531531531531</v>
      </c>
      <c r="D115" s="480">
        <f>IF(VLOOKUP(A115,[1]!TOX,15,FALSE)=0,0,IF(VLOOKUP(A115,[1]!TOX,36,FALSE)="M",'[1]Target Risk'!$D$12/((VLOOKUP(A115,[1]!TOX,15,FALSE))*(1*('GW-2 Exp'!$H$34))),0))</f>
        <v>0</v>
      </c>
      <c r="E115" s="482">
        <f>IF(VLOOKUP(A115,[1]!TOX,15,FALSE)=0,0,IF(VLOOKUP(A115,[1]!TOX,36,FALSE)="M",'[1]Target Risk'!$D$12/((VLOOKUP(A115,[1]!TOX,15,FALSE))*(1*('GW-2 Exp'!$H$34))),'[1]Target Risk'!$D$12/(VLOOKUP(A115,[1]!TOX,15,FALSE))*'GW-2 Exp'!$G$26))</f>
        <v>0.31531531531531531</v>
      </c>
      <c r="F115" s="481">
        <f t="shared" si="14"/>
        <v>0.31531531531531531</v>
      </c>
      <c r="G115" s="480" t="str">
        <f t="shared" si="15"/>
        <v>Cancer</v>
      </c>
      <c r="H115" s="486">
        <f>0.5*(VLOOKUP(A115,[1]!TOX,46,FALSE))</f>
        <v>0</v>
      </c>
      <c r="I115" s="480">
        <f t="shared" si="9"/>
        <v>0.31531531531531531</v>
      </c>
      <c r="J115" s="480" t="str">
        <f t="shared" si="10"/>
        <v>Cancer</v>
      </c>
      <c r="K115" s="484">
        <f>(VLOOKUP(A115,[1]!TOX,41,FALSE))</f>
        <v>0</v>
      </c>
      <c r="L115" s="481">
        <f t="shared" si="11"/>
        <v>0.31531531531531531</v>
      </c>
      <c r="M115" s="485" t="str">
        <f t="shared" si="12"/>
        <v>Cancer</v>
      </c>
      <c r="N115" s="483">
        <f>IF(O115=0,0,(VLOOKUP(A115,[2]!CCalcs,12,FALSE)))</f>
        <v>7.259664805209738E-4</v>
      </c>
      <c r="O115" s="483">
        <f>(VLOOKUP(A115,[2]!CCalcs,4,FALSE))</f>
        <v>3.6691413757919213E-2</v>
      </c>
      <c r="P115" s="486">
        <v>1000</v>
      </c>
      <c r="Q115" s="486">
        <v>1</v>
      </c>
      <c r="R115" s="483">
        <f t="shared" si="13"/>
        <v>11.837610631581112</v>
      </c>
      <c r="S115" s="481">
        <f>IF(R115=0,0,IF(VLOOKUP(A115,[1]!TOX,52,FALSE)=0,MIN(VLOOKUP(A115,[1]!TOX,79,FALSE),R115),MIN(VLOOKUP(A115,[1]!TOX,79,FALSE),R115,(VLOOKUP(A115,[1]!TOX,52,FALSE)))))</f>
        <v>11.837610631581112</v>
      </c>
      <c r="T115" s="485" t="str">
        <f>IF(R115=0,0,IF(R115=S115,M115,IF(S115=(VLOOKUP(A115,[1]!TOX,52,FALSE)),"Greater than Solubility","Ceiling Value")))</f>
        <v>Cancer</v>
      </c>
      <c r="U115" s="480">
        <f>IF(R115=0,0,IF(AND([1]Toxicity!$AZ111&gt;0,R115&gt;[1]Toxicity!$AZ111,[1]Toxicity!$AZ111&lt;[1]Toxicity!$CA111),0,MAX(S115,[1]Toxicity!AY111,[1]Toxicity!AN111)))</f>
        <v>11.837610631581112</v>
      </c>
      <c r="V115" s="487">
        <f t="shared" si="25"/>
        <v>10</v>
      </c>
      <c r="W115" s="488" t="str">
        <f>IF(R115=0,"NA",IF(U115=0,"NA, &gt; Solubility",IF(U115=S115,T115,IF(U115=(VLOOKUP(A115,[1]!TOX,40,FALSE)),"Groundwater Background","Water PQL"))))</f>
        <v>Cancer</v>
      </c>
    </row>
    <row r="116" spans="1:23" x14ac:dyDescent="0.25">
      <c r="A116" s="479" t="s">
        <v>247</v>
      </c>
      <c r="B116" s="480">
        <f>(VLOOKUP(A116,[1]!TOX,8,FALSE)*'[1]Target Risk'!$D$8*'GW-2 Exp'!$G$18*'GW-2 Exp'!$E$18)</f>
        <v>18.600000000000001</v>
      </c>
      <c r="C116" s="481">
        <f>IF(VLOOKUP(A116,[1]!TOX,15,FALSE)=0,0,'[1]Target Risk'!$D$12/(VLOOKUP(A116,[1]!TOX,15,FALSE))*'GW-2 Exp'!$G$26)</f>
        <v>4.0229885057471264E-2</v>
      </c>
      <c r="D116" s="480">
        <f>IF(VLOOKUP(A116,[1]!TOX,15,FALSE)=0,0,IF(VLOOKUP(A116,[1]!TOX,36,FALSE)="M",'[1]Target Risk'!$D$12/((VLOOKUP(A116,[1]!TOX,15,FALSE))*(1*('GW-2 Exp'!$H$34))),0))</f>
        <v>0</v>
      </c>
      <c r="E116" s="482">
        <f>IF(VLOOKUP(A116,[1]!TOX,15,FALSE)=0,0,IF(VLOOKUP(A116,[1]!TOX,36,FALSE)="M",'[1]Target Risk'!$D$12/((VLOOKUP(A116,[1]!TOX,15,FALSE))*(1*('GW-2 Exp'!$H$34))),'[1]Target Risk'!$D$12/(VLOOKUP(A116,[1]!TOX,15,FALSE))*'GW-2 Exp'!$G$26))</f>
        <v>4.0229885057471264E-2</v>
      </c>
      <c r="F116" s="481">
        <f t="shared" si="14"/>
        <v>4.0229885057471264E-2</v>
      </c>
      <c r="G116" s="480" t="str">
        <f t="shared" si="15"/>
        <v>Cancer</v>
      </c>
      <c r="H116" s="486">
        <f>0.5*(VLOOKUP(A116,[1]!TOX,46,FALSE))</f>
        <v>5235</v>
      </c>
      <c r="I116" s="480">
        <f t="shared" si="9"/>
        <v>4.0229885057471264E-2</v>
      </c>
      <c r="J116" s="480" t="str">
        <f t="shared" si="10"/>
        <v>Cancer</v>
      </c>
      <c r="K116" s="484">
        <f>(VLOOKUP(A116,[1]!TOX,41,FALSE))</f>
        <v>0</v>
      </c>
      <c r="L116" s="481">
        <f t="shared" si="11"/>
        <v>4.0229885057471264E-2</v>
      </c>
      <c r="M116" s="485" t="str">
        <f t="shared" si="12"/>
        <v>Cancer</v>
      </c>
      <c r="N116" s="483">
        <f>IF(O116=0,0,(VLOOKUP(A116,[2]!CCalcs,12,FALSE)))</f>
        <v>7.3827463452142924E-4</v>
      </c>
      <c r="O116" s="483">
        <f>(VLOOKUP(A116,[2]!CCalcs,4,FALSE))</f>
        <v>6.1552799999274573E-3</v>
      </c>
      <c r="P116" s="486">
        <v>1000</v>
      </c>
      <c r="Q116" s="486">
        <v>1</v>
      </c>
      <c r="R116" s="483">
        <f t="shared" si="13"/>
        <v>8.8528484754913688</v>
      </c>
      <c r="S116" s="481">
        <f>IF(R116=0,0,IF(VLOOKUP(A116,[1]!TOX,52,FALSE)=0,MIN(VLOOKUP(A116,[1]!TOX,79,FALSE),R116),MIN(VLOOKUP(A116,[1]!TOX,79,FALSE),R116,(VLOOKUP(A116,[1]!TOX,52,FALSE)))))</f>
        <v>8.8528484754913688</v>
      </c>
      <c r="T116" s="485" t="str">
        <f>IF(R116=0,0,IF(R116=S116,M116,IF(S116=(VLOOKUP(A116,[1]!TOX,52,FALSE)),"Greater than Solubility","Ceiling Value")))</f>
        <v>Cancer</v>
      </c>
      <c r="U116" s="480">
        <f>IF(R116=0,0,IF(AND([1]Toxicity!$AZ112&gt;0,R116&gt;[1]Toxicity!$AZ112,[1]Toxicity!$AZ112&lt;[1]Toxicity!$CA112),0,MAX(S116,[1]Toxicity!AY112,[1]Toxicity!AN112)))</f>
        <v>8.8528484754913688</v>
      </c>
      <c r="V116" s="487">
        <f t="shared" si="25"/>
        <v>9</v>
      </c>
      <c r="W116" s="488" t="str">
        <f>IF(R116=0,"NA",IF(U116=0,"NA, &gt; Solubility",IF(U116=S116,T116,IF(U116=(VLOOKUP(A116,[1]!TOX,40,FALSE)),"Groundwater Background","Water PQL"))))</f>
        <v>Cancer</v>
      </c>
    </row>
    <row r="117" spans="1:23" x14ac:dyDescent="0.25">
      <c r="A117" s="479" t="s">
        <v>248</v>
      </c>
      <c r="B117" s="480">
        <f>(VLOOKUP(A117,[1]!TOX,8,FALSE)*'[1]Target Risk'!$D$8*'GW-2 Exp'!$G$18*'GW-2 Exp'!$E$18)</f>
        <v>8</v>
      </c>
      <c r="C117" s="481">
        <f>IF(VLOOKUP(A117,[1]!TOX,15,FALSE)=0,0,'[1]Target Risk'!$D$12/(VLOOKUP(A117,[1]!TOX,15,FALSE))*'GW-2 Exp'!$G$26)</f>
        <v>0.77777777777777779</v>
      </c>
      <c r="D117" s="480">
        <f>IF(VLOOKUP(A117,[1]!TOX,15,FALSE)=0,0,IF(VLOOKUP(A117,[1]!TOX,36,FALSE)="M",'[1]Target Risk'!$D$12/((VLOOKUP(A117,[1]!TOX,15,FALSE))*(1*('GW-2 Exp'!$H$34))),0))</f>
        <v>0</v>
      </c>
      <c r="E117" s="482">
        <f>IF(VLOOKUP(A117,[1]!TOX,15,FALSE)=0,0,IF(VLOOKUP(A117,[1]!TOX,36,FALSE)="M",'[1]Target Risk'!$D$12/((VLOOKUP(A117,[1]!TOX,15,FALSE))*(1*('GW-2 Exp'!$H$34))),'[1]Target Risk'!$D$12/(VLOOKUP(A117,[1]!TOX,15,FALSE))*'GW-2 Exp'!$G$26))</f>
        <v>0.77777777777777779</v>
      </c>
      <c r="F117" s="481">
        <f t="shared" si="14"/>
        <v>0.77777777777777779</v>
      </c>
      <c r="G117" s="480" t="str">
        <f>IF(F117=0,0,IF(F117=B117,"Noncancer","Cancer"))</f>
        <v>Cancer</v>
      </c>
      <c r="H117" s="486">
        <f>0.5*(VLOOKUP(A117,[1]!TOX,46,FALSE))</f>
        <v>15865</v>
      </c>
      <c r="I117" s="480">
        <f t="shared" si="9"/>
        <v>0.77777777777777779</v>
      </c>
      <c r="J117" s="480"/>
      <c r="K117" s="484">
        <f>(VLOOKUP(A117,[1]!TOX,41,FALSE))</f>
        <v>4.0999999999999996</v>
      </c>
      <c r="L117" s="481">
        <f t="shared" si="11"/>
        <v>4.0999999999999996</v>
      </c>
      <c r="M117" s="485" t="str">
        <f t="shared" si="12"/>
        <v>Background Indoor Air</v>
      </c>
      <c r="N117" s="483">
        <f>IF(O117=0,0,(VLOOKUP(A117,[2]!CCalcs,12,FALSE)))</f>
        <v>7.275267082629569E-4</v>
      </c>
      <c r="O117" s="483">
        <f>(VLOOKUP(A117,[2]!CCalcs,4,FALSE))</f>
        <v>0.32424384081717689</v>
      </c>
      <c r="P117" s="486">
        <v>1000</v>
      </c>
      <c r="Q117" s="486">
        <v>1</v>
      </c>
      <c r="R117" s="483">
        <f t="shared" si="13"/>
        <v>17.380536584971793</v>
      </c>
      <c r="S117" s="481">
        <f>IF(R117=0,0,IF(VLOOKUP(A117,[1]!TOX,52,FALSE)=0,MIN(VLOOKUP(A117,[1]!TOX,79,FALSE),R117),MIN(VLOOKUP(A117,[1]!TOX,79,FALSE),R117,(VLOOKUP(A117,[1]!TOX,52,FALSE)))))</f>
        <v>17.380536584971793</v>
      </c>
      <c r="T117" s="485" t="str">
        <f>IF(R117=0,0,IF(R117=S117,M117,IF(S117=(VLOOKUP(A117,[1]!TOX,52,FALSE)),"Greater than Solubility","Ceiling Value")))</f>
        <v>Background Indoor Air</v>
      </c>
      <c r="U117" s="480">
        <f>IF(R117=0,0,IF(AND([1]Toxicity!$AZ113&gt;0,R117&gt;[1]Toxicity!$AZ113,[1]Toxicity!$AZ113&lt;[1]Toxicity!$CA113),0,MAX(S117,[1]Toxicity!AY113,[1]Toxicity!AN113)))</f>
        <v>17.380536584971793</v>
      </c>
      <c r="V117" s="487">
        <f t="shared" si="25"/>
        <v>20</v>
      </c>
      <c r="W117" s="488" t="str">
        <f>IF(R117=0,"NA",IF(U117=0,"NA, &gt; Solubility",IF(U117=S117,T117,IF(U117=(VLOOKUP(A117,[1]!TOX,40,FALSE)),"Groundwater Background","Water PQL"))))</f>
        <v>Background Indoor Air</v>
      </c>
    </row>
    <row r="118" spans="1:23" x14ac:dyDescent="0.25">
      <c r="A118" s="479" t="s">
        <v>249</v>
      </c>
      <c r="B118" s="480">
        <f>(VLOOKUP(A118,[1]!TOX,8,FALSE)*'[1]Target Risk'!$D$8*'GW-2 Exp'!$G$18*'GW-2 Exp'!$E$18)</f>
        <v>2.8000000000000004E-3</v>
      </c>
      <c r="C118" s="481">
        <f>IF(VLOOKUP(A118,[1]!TOX,15,FALSE)=0,0,'[1]Target Risk'!$D$12/(VLOOKUP(A118,[1]!TOX,15,FALSE))*'GW-2 Exp'!$G$26)</f>
        <v>0</v>
      </c>
      <c r="D118" s="480">
        <f>IF(VLOOKUP(A118,[1]!TOX,15,FALSE)=0,0,IF(VLOOKUP(A118,[1]!TOX,36,FALSE)="M",'[1]Target Risk'!$D$12/((VLOOKUP(A118,[1]!TOX,15,FALSE))*(1*('GW-2 Exp'!$H$34))),0))</f>
        <v>0</v>
      </c>
      <c r="E118" s="482">
        <f>IF(VLOOKUP(A118,[1]!TOX,15,FALSE)=0,0,IF(VLOOKUP(A118,[1]!TOX,36,FALSE)="M",'[1]Target Risk'!$D$12/((VLOOKUP(A118,[1]!TOX,15,FALSE))*(1*('GW-2 Exp'!$H$34))),'[1]Target Risk'!$D$12/(VLOOKUP(A118,[1]!TOX,15,FALSE))*'GW-2 Exp'!$G$26))</f>
        <v>0</v>
      </c>
      <c r="F118" s="481">
        <f t="shared" si="14"/>
        <v>2.8000000000000004E-3</v>
      </c>
      <c r="G118" s="480" t="str">
        <f t="shared" ref="G118:G129" si="26">IF(F118=0,0,IF(F118=B118,"Noncancer","Cancer"))</f>
        <v>Noncancer</v>
      </c>
      <c r="H118" s="486">
        <f>0.5*(VLOOKUP(A118,[1]!TOX,46,FALSE))</f>
        <v>0</v>
      </c>
      <c r="I118" s="480">
        <f t="shared" si="9"/>
        <v>2.8000000000000004E-3</v>
      </c>
      <c r="J118" s="480" t="str">
        <f t="shared" si="10"/>
        <v>Noncancer</v>
      </c>
      <c r="K118" s="484">
        <f>(VLOOKUP(A118,[1]!TOX,41,FALSE))</f>
        <v>0</v>
      </c>
      <c r="L118" s="481">
        <f t="shared" si="11"/>
        <v>2.8000000000000004E-3</v>
      </c>
      <c r="M118" s="485" t="str">
        <f t="shared" si="12"/>
        <v>Noncancer</v>
      </c>
      <c r="N118" s="483">
        <f>IF(O118=0,0,(VLOOKUP(A118,[2]!CCalcs,12,FALSE)))</f>
        <v>0</v>
      </c>
      <c r="O118" s="483">
        <f>(VLOOKUP(A118,[2]!CCalcs,4,FALSE))</f>
        <v>0</v>
      </c>
      <c r="P118" s="486">
        <v>1000</v>
      </c>
      <c r="Q118" s="486">
        <v>1</v>
      </c>
      <c r="R118" s="483">
        <f t="shared" si="13"/>
        <v>0</v>
      </c>
      <c r="S118" s="481">
        <f>IF(R118=0,0,IF(VLOOKUP(A118,[1]!TOX,52,FALSE)=0,MIN(VLOOKUP(A118,[1]!TOX,79,FALSE),R118),MIN(VLOOKUP(A118,[1]!TOX,79,FALSE),R118,(VLOOKUP(A118,[1]!TOX,52,FALSE)))))</f>
        <v>0</v>
      </c>
      <c r="T118" s="485">
        <f>IF(R118=0,0,IF(R118=S118,M118,IF(S118=(VLOOKUP(A118,[1]!TOX,52,FALSE)),"Greater than Solubility","Ceiling Value")))</f>
        <v>0</v>
      </c>
      <c r="U118" s="480">
        <f>IF(R118=0,0,IF(AND([1]Toxicity!$AZ114&gt;0,R118&gt;[1]Toxicity!$AZ114,[1]Toxicity!$AZ114&lt;[1]Toxicity!$CA114),0,MAX(S118,[1]Toxicity!AY114,[1]Toxicity!AN114)))</f>
        <v>0</v>
      </c>
      <c r="V118" s="487">
        <f>U118</f>
        <v>0</v>
      </c>
      <c r="W118" s="488" t="str">
        <f>IF(R118=0,"NA",IF(U118=0,"NA, &gt; Solubility",IF(U118=S118,T118,IF(U118=(VLOOKUP(A118,[1]!TOX,40,FALSE)),"Groundwater Background","Water PQL"))))</f>
        <v>NA</v>
      </c>
    </row>
    <row r="119" spans="1:23" x14ac:dyDescent="0.25">
      <c r="A119" s="479" t="s">
        <v>250</v>
      </c>
      <c r="B119" s="480">
        <f>(VLOOKUP(A119,[1]!TOX,8,FALSE)*'[1]Target Risk'!$D$8*'GW-2 Exp'!$G$18*'GW-2 Exp'!$E$18)</f>
        <v>1000</v>
      </c>
      <c r="C119" s="481">
        <f>IF(VLOOKUP(A119,[1]!TOX,15,FALSE)=0,0,'[1]Target Risk'!$D$12/(VLOOKUP(A119,[1]!TOX,15,FALSE))*'GW-2 Exp'!$G$26)</f>
        <v>0</v>
      </c>
      <c r="D119" s="480">
        <f>IF(VLOOKUP(A119,[1]!TOX,15,FALSE)=0,0,IF(VLOOKUP(A119,[1]!TOX,36,FALSE)="M",'[1]Target Risk'!$D$12/((VLOOKUP(A119,[1]!TOX,15,FALSE))*(1*('GW-2 Exp'!$H$34))),0))</f>
        <v>0</v>
      </c>
      <c r="E119" s="482">
        <f>IF(VLOOKUP(A119,[1]!TOX,15,FALSE)=0,0,IF(VLOOKUP(A119,[1]!TOX,36,FALSE)="M",'[1]Target Risk'!$D$12/((VLOOKUP(A119,[1]!TOX,15,FALSE))*(1*('GW-2 Exp'!$H$34))),'[1]Target Risk'!$D$12/(VLOOKUP(A119,[1]!TOX,15,FALSE))*'GW-2 Exp'!$G$26))</f>
        <v>0</v>
      </c>
      <c r="F119" s="481">
        <f t="shared" si="14"/>
        <v>1000</v>
      </c>
      <c r="G119" s="480" t="str">
        <f t="shared" si="26"/>
        <v>Noncancer</v>
      </c>
      <c r="H119" s="486">
        <f>0.5*(VLOOKUP(A119,[1]!TOX,46,FALSE))</f>
        <v>15000</v>
      </c>
      <c r="I119" s="480">
        <f t="shared" si="9"/>
        <v>1000</v>
      </c>
      <c r="J119" s="480" t="str">
        <f t="shared" si="10"/>
        <v>Noncancer</v>
      </c>
      <c r="K119" s="484">
        <f>(VLOOKUP(A119,[1]!TOX,41,FALSE))</f>
        <v>54</v>
      </c>
      <c r="L119" s="481">
        <f t="shared" si="11"/>
        <v>1000</v>
      </c>
      <c r="M119" s="485" t="str">
        <f t="shared" si="12"/>
        <v>Noncancer</v>
      </c>
      <c r="N119" s="483">
        <f>IF(O119=0,0,(VLOOKUP(A119,[2]!CCalcs,12,FALSE)))</f>
        <v>7.7836678356713919E-4</v>
      </c>
      <c r="O119" s="483">
        <f>(VLOOKUP(A119,[2]!CCalcs,4,FALSE))</f>
        <v>0.12604902455886741</v>
      </c>
      <c r="P119" s="486">
        <v>1000</v>
      </c>
      <c r="Q119" s="486">
        <v>10</v>
      </c>
      <c r="R119" s="483">
        <f t="shared" si="13"/>
        <v>101923.94303479716</v>
      </c>
      <c r="S119" s="481">
        <f>IF(R119=0,0,IF(VLOOKUP(A119,[1]!TOX,52,FALSE)=0,MIN(VLOOKUP(A119,[1]!TOX,79,FALSE),R119),MIN(VLOOKUP(A119,[1]!TOX,79,FALSE),R119,(VLOOKUP(A119,[1]!TOX,52,FALSE)))))</f>
        <v>50000</v>
      </c>
      <c r="T119" s="485" t="str">
        <f>IF(R119=0,0,IF(R119=S119,M119,IF(S119=(VLOOKUP(A119,[1]!TOX,52,FALSE)),"Greater than Solubility","Ceiling Value")))</f>
        <v>Ceiling Value</v>
      </c>
      <c r="U119" s="480">
        <f>IF(R119=0,0,IF(AND([1]Toxicity!$AZ115&gt;0,R119&gt;[1]Toxicity!$AZ115,[1]Toxicity!$AZ115&lt;[1]Toxicity!$CA115),0,MAX(S119,[1]Toxicity!AY115,[1]Toxicity!AN115)))</f>
        <v>50000</v>
      </c>
      <c r="V119" s="487">
        <f t="shared" si="25"/>
        <v>50000</v>
      </c>
      <c r="W119" s="488" t="str">
        <f>IF(R119=0,"NA",IF(U119=0,"NA, &gt; Solubility",IF(U119=S119,T119,IF(U119=(VLOOKUP(A119,[1]!TOX,40,FALSE)),"Groundwater Background","Water PQL"))))</f>
        <v>Ceiling Value</v>
      </c>
    </row>
    <row r="120" spans="1:23" x14ac:dyDescent="0.25">
      <c r="A120" s="479" t="s">
        <v>251</v>
      </c>
      <c r="B120" s="480">
        <f>(VLOOKUP(A120,[1]!TOX,8,FALSE)*'[1]Target Risk'!$D$8*'GW-2 Exp'!$G$18*'GW-2 Exp'!$E$18)</f>
        <v>0.4</v>
      </c>
      <c r="C120" s="481">
        <f>IF(VLOOKUP(A120,[1]!TOX,15,FALSE)=0,0,'[1]Target Risk'!$D$12/(VLOOKUP(A120,[1]!TOX,15,FALSE))*'GW-2 Exp'!$G$26)</f>
        <v>0</v>
      </c>
      <c r="D120" s="480">
        <f>IF(VLOOKUP(A120,[1]!TOX,15,FALSE)=0,0,IF(VLOOKUP(A120,[1]!TOX,36,FALSE)="M",'[1]Target Risk'!$D$12/((VLOOKUP(A120,[1]!TOX,15,FALSE))*(1*('GW-2 Exp'!$H$34))),0))</f>
        <v>0</v>
      </c>
      <c r="E120" s="482">
        <f>IF(VLOOKUP(A120,[1]!TOX,15,FALSE)=0,0,IF(VLOOKUP(A120,[1]!TOX,36,FALSE)="M",'[1]Target Risk'!$D$12/((VLOOKUP(A120,[1]!TOX,15,FALSE))*(1*('GW-2 Exp'!$H$34))),'[1]Target Risk'!$D$12/(VLOOKUP(A120,[1]!TOX,15,FALSE))*'GW-2 Exp'!$G$26))</f>
        <v>0</v>
      </c>
      <c r="F120" s="481">
        <f t="shared" si="14"/>
        <v>0.4</v>
      </c>
      <c r="G120" s="480" t="str">
        <f t="shared" si="26"/>
        <v>Noncancer</v>
      </c>
      <c r="H120" s="486">
        <f>0.5*(VLOOKUP(A120,[1]!TOX,46,FALSE))</f>
        <v>11000</v>
      </c>
      <c r="I120" s="480">
        <f t="shared" si="9"/>
        <v>0.4</v>
      </c>
      <c r="J120" s="480" t="str">
        <f t="shared" si="10"/>
        <v>Noncancer</v>
      </c>
      <c r="K120" s="484">
        <f>(VLOOKUP(A120,[1]!TOX,41,FALSE))</f>
        <v>3.4</v>
      </c>
      <c r="L120" s="481">
        <f t="shared" si="11"/>
        <v>3.4</v>
      </c>
      <c r="M120" s="485" t="str">
        <f t="shared" si="12"/>
        <v>Background Indoor Air</v>
      </c>
      <c r="N120" s="483">
        <f>IF(O120=0,0,(VLOOKUP(A120,[2]!CCalcs,12,FALSE)))</f>
        <v>7.5251749035745198E-4</v>
      </c>
      <c r="O120" s="483">
        <f>(VLOOKUP(A120,[2]!CCalcs,4,FALSE))</f>
        <v>2.5968684140534413E-2</v>
      </c>
      <c r="P120" s="486">
        <v>1000</v>
      </c>
      <c r="Q120" s="486">
        <v>1</v>
      </c>
      <c r="R120" s="483">
        <f t="shared" si="13"/>
        <v>173.98522716951877</v>
      </c>
      <c r="S120" s="481">
        <f>IF(R120=0,0,IF(VLOOKUP(A120,[1]!TOX,52,FALSE)=0,MIN(VLOOKUP(A120,[1]!TOX,79,FALSE),R120),MIN(VLOOKUP(A120,[1]!TOX,79,FALSE),R120,(VLOOKUP(A120,[1]!TOX,52,FALSE)))))</f>
        <v>173.98522716951877</v>
      </c>
      <c r="T120" s="485" t="str">
        <f>IF(R120=0,0,IF(R120=S120,M120,IF(S120=(VLOOKUP(A120,[1]!TOX,52,FALSE)),"Greater than Solubility","Ceiling Value")))</f>
        <v>Background Indoor Air</v>
      </c>
      <c r="U120" s="480">
        <f>IF(R120=0,0,IF(AND([1]Toxicity!$AZ116&gt;0,R120&gt;[1]Toxicity!$AZ116,[1]Toxicity!$AZ116&lt;[1]Toxicity!$CA116),0,MAX(S120,[1]Toxicity!AY116,[1]Toxicity!AN116)))</f>
        <v>173.98522716951877</v>
      </c>
      <c r="V120" s="487">
        <f t="shared" si="25"/>
        <v>200</v>
      </c>
      <c r="W120" s="488" t="str">
        <f>IF(R120=0,"NA",IF(U120=0,"NA, &gt; Solubility",IF(U120=S120,T120,IF(U120=(VLOOKUP(A120,[1]!TOX,40,FALSE)),"Groundwater Background","Water PQL"))))</f>
        <v>Background Indoor Air</v>
      </c>
    </row>
    <row r="121" spans="1:23" x14ac:dyDescent="0.25">
      <c r="A121" s="479" t="s">
        <v>252</v>
      </c>
      <c r="B121" s="480">
        <f>(VLOOKUP(A121,[1]!TOX,8,FALSE)*'[1]Target Risk'!$D$8*'GW-2 Exp'!$G$18*'GW-2 Exp'!$E$18)</f>
        <v>1000</v>
      </c>
      <c r="C121" s="481">
        <f>IF(VLOOKUP(A121,[1]!TOX,15,FALSE)=0,0,'[1]Target Risk'!$D$12/(VLOOKUP(A121,[1]!TOX,15,FALSE))*'GW-2 Exp'!$G$26)</f>
        <v>0</v>
      </c>
      <c r="D121" s="480">
        <f>IF(VLOOKUP(A121,[1]!TOX,15,FALSE)=0,0,IF(VLOOKUP(A121,[1]!TOX,36,FALSE)="M",'[1]Target Risk'!$D$12/((VLOOKUP(A121,[1]!TOX,15,FALSE))*(1*('GW-2 Exp'!$H$34))),0))</f>
        <v>0</v>
      </c>
      <c r="E121" s="482">
        <f>IF(VLOOKUP(A121,[1]!TOX,15,FALSE)=0,0,IF(VLOOKUP(A121,[1]!TOX,36,FALSE)="M",'[1]Target Risk'!$D$12/((VLOOKUP(A121,[1]!TOX,15,FALSE))*(1*('GW-2 Exp'!$H$34))),'[1]Target Risk'!$D$12/(VLOOKUP(A121,[1]!TOX,15,FALSE))*'GW-2 Exp'!$G$26))</f>
        <v>0</v>
      </c>
      <c r="F121" s="481">
        <f t="shared" si="14"/>
        <v>1000</v>
      </c>
      <c r="G121" s="480" t="str">
        <f t="shared" si="26"/>
        <v>Noncancer</v>
      </c>
      <c r="H121" s="486">
        <f>0.5*(VLOOKUP(A121,[1]!TOX,46,FALSE))</f>
        <v>32563.5</v>
      </c>
      <c r="I121" s="480">
        <f t="shared" si="9"/>
        <v>1000</v>
      </c>
      <c r="J121" s="480" t="str">
        <f t="shared" si="10"/>
        <v>Noncancer</v>
      </c>
      <c r="K121" s="484">
        <f>(VLOOKUP(A121,[1]!TOX,41,FALSE))</f>
        <v>3</v>
      </c>
      <c r="L121" s="481">
        <f t="shared" si="11"/>
        <v>1000</v>
      </c>
      <c r="M121" s="485" t="str">
        <f t="shared" si="12"/>
        <v>Noncancer</v>
      </c>
      <c r="N121" s="483">
        <f>IF(O121=0,0,(VLOOKUP(A121,[2]!CCalcs,12,FALSE)))</f>
        <v>7.4918428389551166E-4</v>
      </c>
      <c r="O121" s="483">
        <f>(VLOOKUP(A121,[2]!CCalcs,4,FALSE))</f>
        <v>0.36576416128970946</v>
      </c>
      <c r="P121" s="486">
        <v>1000</v>
      </c>
      <c r="Q121" s="486">
        <v>1</v>
      </c>
      <c r="R121" s="483">
        <f t="shared" si="13"/>
        <v>3649.3052505059791</v>
      </c>
      <c r="S121" s="481">
        <f>IF(R121=0,0,IF(VLOOKUP(A121,[1]!TOX,52,FALSE)=0,MIN(VLOOKUP(A121,[1]!TOX,79,FALSE),R121),MIN(VLOOKUP(A121,[1]!TOX,79,FALSE),R121,(VLOOKUP(A121,[1]!TOX,52,FALSE)))))</f>
        <v>3649.3052505059791</v>
      </c>
      <c r="T121" s="485" t="str">
        <f>IF(R121=0,0,IF(R121=S121,M121,IF(S121=(VLOOKUP(A121,[1]!TOX,52,FALSE)),"Greater than Solubility","Ceiling Value")))</f>
        <v>Noncancer</v>
      </c>
      <c r="U121" s="480">
        <f>IF(R121=0,0,IF(AND([1]Toxicity!$AZ117&gt;0,R121&gt;[1]Toxicity!$AZ117,[1]Toxicity!$AZ117&lt;[1]Toxicity!$CA117),0,MAX(S121,[1]Toxicity!AY117,[1]Toxicity!AN117)))</f>
        <v>3649.3052505059791</v>
      </c>
      <c r="V121" s="487">
        <f t="shared" si="25"/>
        <v>4000</v>
      </c>
      <c r="W121" s="488" t="str">
        <f>IF(R121=0,"NA",IF(U121=0,"NA, &gt; Solubility",IF(U121=S121,T121,IF(U121=(VLOOKUP(A121,[1]!TOX,40,FALSE)),"Groundwater Background","Water PQL"))))</f>
        <v>Noncancer</v>
      </c>
    </row>
    <row r="122" spans="1:23" x14ac:dyDescent="0.25">
      <c r="A122" s="479" t="s">
        <v>253</v>
      </c>
      <c r="B122" s="480">
        <f>(VLOOKUP(A122,[1]!TOX,8,FALSE)*'[1]Target Risk'!$D$8*'GW-2 Exp'!$G$18*'GW-2 Exp'!$E$18)</f>
        <v>14.8</v>
      </c>
      <c r="C122" s="481">
        <f>IF(VLOOKUP(A122,[1]!TOX,15,FALSE)=0,0,'[1]Target Risk'!$D$12/(VLOOKUP(A122,[1]!TOX,15,FALSE))*'GW-2 Exp'!$G$26)</f>
        <v>0.14583333333333334</v>
      </c>
      <c r="D122" s="480">
        <f>IF(VLOOKUP(A122,[1]!TOX,15,FALSE)=0,0,IF(VLOOKUP(A122,[1]!TOX,36,FALSE)="M",'[1]Target Risk'!$D$12/((VLOOKUP(A122,[1]!TOX,15,FALSE))*(1*('GW-2 Exp'!$H$34))),0))</f>
        <v>0</v>
      </c>
      <c r="E122" s="482">
        <f>IF(VLOOKUP(A122,[1]!TOX,15,FALSE)=0,0,IF(VLOOKUP(A122,[1]!TOX,36,FALSE)="M",'[1]Target Risk'!$D$12/((VLOOKUP(A122,[1]!TOX,15,FALSE))*(1*('GW-2 Exp'!$H$34))),'[1]Target Risk'!$D$12/(VLOOKUP(A122,[1]!TOX,15,FALSE))*'GW-2 Exp'!$G$26))</f>
        <v>0.14583333333333334</v>
      </c>
      <c r="F122" s="481">
        <f t="shared" si="14"/>
        <v>0.14583333333333334</v>
      </c>
      <c r="G122" s="480" t="str">
        <f t="shared" si="26"/>
        <v>Cancer</v>
      </c>
      <c r="H122" s="486">
        <f>0.5*(VLOOKUP(A122,[1]!TOX,46,FALSE))</f>
        <v>0</v>
      </c>
      <c r="I122" s="480">
        <f t="shared" si="9"/>
        <v>0.14583333333333334</v>
      </c>
      <c r="J122" s="480" t="str">
        <f t="shared" si="10"/>
        <v>Cancer</v>
      </c>
      <c r="K122" s="484">
        <f>(VLOOKUP(A122,[1]!TOX,41,FALSE))</f>
        <v>9.98</v>
      </c>
      <c r="L122" s="481">
        <f t="shared" si="11"/>
        <v>9.98</v>
      </c>
      <c r="M122" s="485" t="str">
        <f t="shared" si="12"/>
        <v>Background Indoor Air</v>
      </c>
      <c r="N122" s="483">
        <f>IF(O122=0,0,(VLOOKUP(A122,[2]!CCalcs,12,FALSE)))</f>
        <v>7.5507235507023924E-4</v>
      </c>
      <c r="O122" s="483">
        <f>(VLOOKUP(A122,[2]!CCalcs,4,FALSE))</f>
        <v>1.5069151923803066E-2</v>
      </c>
      <c r="P122" s="486">
        <v>1000</v>
      </c>
      <c r="Q122" s="486">
        <v>1</v>
      </c>
      <c r="R122" s="483">
        <f t="shared" si="13"/>
        <v>877.10817713695769</v>
      </c>
      <c r="S122" s="481">
        <f>IF(R122=0,0,IF(VLOOKUP(A122,[1]!TOX,52,FALSE)=0,MIN(VLOOKUP(A122,[1]!TOX,79,FALSE),R122),MIN(VLOOKUP(A122,[1]!TOX,79,FALSE),R122,(VLOOKUP(A122,[1]!TOX,52,FALSE)))))</f>
        <v>877.10817713695769</v>
      </c>
      <c r="T122" s="485" t="str">
        <f>IF(R122=0,0,IF(R122=S122,M122,IF(S122=(VLOOKUP(A122,[1]!TOX,52,FALSE)),"Greater than Solubility","Ceiling Value")))</f>
        <v>Background Indoor Air</v>
      </c>
      <c r="U122" s="480">
        <f>IF(R122=0,0,IF(AND([1]Toxicity!$AZ118&gt;0,R122&gt;[1]Toxicity!$AZ118,[1]Toxicity!$AZ118&lt;[1]Toxicity!$CA118),0,MAX(S122,[1]Toxicity!AY118,[1]Toxicity!AN118)))</f>
        <v>877.10817713695769</v>
      </c>
      <c r="V122" s="487">
        <f t="shared" si="25"/>
        <v>900</v>
      </c>
      <c r="W122" s="488" t="str">
        <f>IF(R122=0,"NA",IF(U122=0,"NA, &gt; Solubility",IF(U122=S122,T122,IF(U122=(VLOOKUP(A122,[1]!TOX,40,FALSE)),"Groundwater Background","Water PQL"))))</f>
        <v>Background Indoor Air</v>
      </c>
    </row>
    <row r="123" spans="1:23" x14ac:dyDescent="0.25">
      <c r="A123" s="479" t="s">
        <v>254</v>
      </c>
      <c r="B123" s="480">
        <f>(VLOOKUP(A123,[1]!TOX,8,FALSE)*'[1]Target Risk'!$D$8*'GW-2 Exp'!$G$18*'GW-2 Exp'!$E$18)</f>
        <v>0.4</v>
      </c>
      <c r="C123" s="760"/>
      <c r="D123" s="480"/>
      <c r="E123" s="482">
        <f>'GW-2 TCE &amp; VC'!E10</f>
        <v>0.45315161839863716</v>
      </c>
      <c r="F123" s="481">
        <f t="shared" si="14"/>
        <v>0.4</v>
      </c>
      <c r="G123" s="480" t="str">
        <f t="shared" si="26"/>
        <v>Noncancer</v>
      </c>
      <c r="H123" s="486">
        <f>0.5*(VLOOKUP(A123,[1]!TOX,46,FALSE))</f>
        <v>680000</v>
      </c>
      <c r="I123" s="480">
        <f t="shared" si="9"/>
        <v>0.4</v>
      </c>
      <c r="J123" s="480" t="str">
        <f t="shared" si="10"/>
        <v>Noncancer</v>
      </c>
      <c r="K123" s="484">
        <f>(VLOOKUP(A123,[1]!TOX,41,FALSE))</f>
        <v>0.8</v>
      </c>
      <c r="L123" s="481">
        <f t="shared" si="11"/>
        <v>0.8</v>
      </c>
      <c r="M123" s="485" t="str">
        <f t="shared" si="12"/>
        <v>Background Indoor Air</v>
      </c>
      <c r="N123" s="483">
        <f>IF(O123=0,0,(VLOOKUP(A123,[2]!CCalcs,12,FALSE)))</f>
        <v>7.5282186827969162E-4</v>
      </c>
      <c r="O123" s="483">
        <f>(VLOOKUP(A123,[2]!CCalcs,4,FALSE))</f>
        <v>0.19725099504024918</v>
      </c>
      <c r="P123" s="486">
        <v>1000</v>
      </c>
      <c r="Q123" s="486">
        <v>1</v>
      </c>
      <c r="R123" s="483">
        <f t="shared" si="13"/>
        <v>5.387391765339391</v>
      </c>
      <c r="S123" s="481">
        <f>IF(R123=0,0,IF(VLOOKUP(A123,[1]!TOX,52,FALSE)=0,MIN(VLOOKUP(A123,[1]!TOX,79,FALSE),R123),MIN(VLOOKUP(A123,[1]!TOX,79,FALSE),R123,(VLOOKUP(A123,[1]!TOX,52,FALSE)))))</f>
        <v>5.387391765339391</v>
      </c>
      <c r="T123" s="485" t="str">
        <f>IF(R123=0,0,IF(R123=S123,M123,IF(S123=(VLOOKUP(A123,[1]!TOX,52,FALSE)),"Greater than Solubility","Ceiling Value")))</f>
        <v>Background Indoor Air</v>
      </c>
      <c r="U123" s="480">
        <f>IF(R123=0,0,IF(AND([1]Toxicity!$AZ119&gt;0,R123&gt;[1]Toxicity!$AZ119,[1]Toxicity!$AZ119&lt;[1]Toxicity!$CA119),0,MAX(S123,[1]Toxicity!AY119,[1]Toxicity!AN119)))</f>
        <v>5.387391765339391</v>
      </c>
      <c r="V123" s="487">
        <f t="shared" si="25"/>
        <v>5</v>
      </c>
      <c r="W123" s="488" t="str">
        <f>IF(R123=0,"NA",IF(U123=0,"NA, &gt; Solubility",IF(U123=S123,T123,IF(U123=(VLOOKUP(A123,[1]!TOX,40,FALSE)),"Groundwater Background","Water PQL"))))</f>
        <v>Background Indoor Air</v>
      </c>
    </row>
    <row r="124" spans="1:23" x14ac:dyDescent="0.25">
      <c r="A124" s="479" t="s">
        <v>255</v>
      </c>
      <c r="B124" s="480">
        <f>(VLOOKUP(A124,[1]!TOX,8,FALSE)*'[1]Target Risk'!$D$8*'GW-2 Exp'!$G$18*'GW-2 Exp'!$E$18)</f>
        <v>69.999999999999986</v>
      </c>
      <c r="C124" s="481">
        <f>IF(VLOOKUP(A124,[1]!TOX,15,FALSE)=0,0,'[1]Target Risk'!$D$12/(VLOOKUP(A124,[1]!TOX,15,FALSE))*'GW-2 Exp'!$G$26)</f>
        <v>0</v>
      </c>
      <c r="D124" s="480">
        <f>IF(VLOOKUP(A124,[1]!TOX,15,FALSE)=0,0,IF(VLOOKUP(A124,[1]!TOX,36,FALSE)="M",'[1]Target Risk'!$D$12/((VLOOKUP(A124,[1]!TOX,15,FALSE))*(1*('GW-2 Exp'!$H$34))),0))</f>
        <v>0</v>
      </c>
      <c r="E124" s="482">
        <f>IF(VLOOKUP(A124,[1]!TOX,15,FALSE)=0,0,IF(VLOOKUP(A124,[1]!TOX,36,FALSE)="M",'[1]Target Risk'!$D$12/((VLOOKUP(A124,[1]!TOX,15,FALSE))*(1*('GW-2 Exp'!$H$34))),'[1]Target Risk'!$D$12/(VLOOKUP(A124,[1]!TOX,15,FALSE))*'GW-2 Exp'!$G$26))</f>
        <v>0</v>
      </c>
      <c r="F124" s="481">
        <f t="shared" si="14"/>
        <v>69.999999999999986</v>
      </c>
      <c r="G124" s="480" t="str">
        <f t="shared" si="26"/>
        <v>Noncancer</v>
      </c>
      <c r="H124" s="486">
        <f>0.5*(VLOOKUP(A124,[1]!TOX,46,FALSE))</f>
        <v>0</v>
      </c>
      <c r="I124" s="480">
        <f t="shared" si="9"/>
        <v>69.999999999999986</v>
      </c>
      <c r="J124" s="480" t="str">
        <f t="shared" si="10"/>
        <v>Noncancer</v>
      </c>
      <c r="K124" s="484">
        <f>(VLOOKUP(A124,[1]!TOX,41,FALSE))</f>
        <v>0</v>
      </c>
      <c r="L124" s="481">
        <f t="shared" si="11"/>
        <v>69.999999999999986</v>
      </c>
      <c r="M124" s="485" t="str">
        <f t="shared" si="12"/>
        <v>Noncancer</v>
      </c>
      <c r="N124" s="483">
        <f>IF(O124=0,0,(VLOOKUP(A124,[2]!CCalcs,12,FALSE)))</f>
        <v>1.0477893007788189E-3</v>
      </c>
      <c r="O124" s="483">
        <f>(VLOOKUP(A124,[2]!CCalcs,4,FALSE))</f>
        <v>1.4895897784716475E-5</v>
      </c>
      <c r="P124" s="486">
        <v>1000</v>
      </c>
      <c r="Q124" s="486">
        <v>1</v>
      </c>
      <c r="R124" s="483">
        <f t="shared" si="13"/>
        <v>4484947.8448888417</v>
      </c>
      <c r="S124" s="481">
        <f>IF(R124=0,0,IF(VLOOKUP(A124,[1]!TOX,52,FALSE)=0,MIN(VLOOKUP(A124,[1]!TOX,79,FALSE),R124),MIN(VLOOKUP(A124,[1]!TOX,79,FALSE),R124,(VLOOKUP(A124,[1]!TOX,52,FALSE)))))</f>
        <v>50000</v>
      </c>
      <c r="T124" s="485" t="str">
        <f>IF(R124=0,0,IF(R124=S124,M124,IF(S124=(VLOOKUP(A124,[1]!TOX,52,FALSE)),"Greater than Solubility","Ceiling Value")))</f>
        <v>Ceiling Value</v>
      </c>
      <c r="U124" s="480">
        <f>IF(R124=0,0,IF(AND([1]Toxicity!$AZ120&gt;0,R124&gt;[1]Toxicity!$AZ120,[1]Toxicity!$AZ120&lt;[1]Toxicity!$CA120),0,MAX(S124,[1]Toxicity!AY120,[1]Toxicity!AN120)))</f>
        <v>50000</v>
      </c>
      <c r="V124" s="487">
        <f t="shared" si="25"/>
        <v>50000</v>
      </c>
      <c r="W124" s="488" t="str">
        <f>IF(R124=0,"NA",IF(U124=0,"NA, &gt; Solubility",IF(U124=S124,T124,IF(U124=(VLOOKUP(A124,[1]!TOX,40,FALSE)),"Groundwater Background","Water PQL"))))</f>
        <v>Ceiling Value</v>
      </c>
    </row>
    <row r="125" spans="1:23" x14ac:dyDescent="0.25">
      <c r="A125" s="479" t="s">
        <v>256</v>
      </c>
      <c r="B125" s="480">
        <f>(VLOOKUP(A125,[1]!TOX,8,FALSE)*'[1]Target Risk'!$D$8*'GW-2 Exp'!$G$18*'GW-2 Exp'!$E$18)</f>
        <v>0.8</v>
      </c>
      <c r="C125" s="481">
        <f>IF(VLOOKUP(A125,[1]!TOX,15,FALSE)=0,0,'[1]Target Risk'!$D$12/(VLOOKUP(A125,[1]!TOX,15,FALSE))*'GW-2 Exp'!$G$26)</f>
        <v>0.75268817204301075</v>
      </c>
      <c r="D125" s="480">
        <f>IF(VLOOKUP(A125,[1]!TOX,15,FALSE)=0,0,IF(VLOOKUP(A125,[1]!TOX,36,FALSE)="M",'[1]Target Risk'!$D$12/((VLOOKUP(A125,[1]!TOX,15,FALSE))*(1*('GW-2 Exp'!$H$34))),0))</f>
        <v>0</v>
      </c>
      <c r="E125" s="482">
        <f>IF(VLOOKUP(A125,[1]!TOX,15,FALSE)=0,0,IF(VLOOKUP(A125,[1]!TOX,36,FALSE)="M",'[1]Target Risk'!$D$12/((VLOOKUP(A125,[1]!TOX,15,FALSE))*(1*('GW-2 Exp'!$H$34))),'[1]Target Risk'!$D$12/(VLOOKUP(A125,[1]!TOX,15,FALSE))*'GW-2 Exp'!$G$26))</f>
        <v>0.75268817204301075</v>
      </c>
      <c r="F125" s="481">
        <f t="shared" si="14"/>
        <v>0.75268817204301075</v>
      </c>
      <c r="G125" s="480" t="str">
        <f t="shared" si="26"/>
        <v>Cancer</v>
      </c>
      <c r="H125" s="486">
        <f>0.5*(VLOOKUP(A125,[1]!TOX,46,FALSE))</f>
        <v>0.15</v>
      </c>
      <c r="I125" s="480">
        <f t="shared" si="9"/>
        <v>0.15</v>
      </c>
      <c r="J125" s="480" t="str">
        <f t="shared" si="10"/>
        <v>50% Odor Threshold</v>
      </c>
      <c r="K125" s="484">
        <f>(VLOOKUP(A125,[1]!TOX,41,FALSE))</f>
        <v>0</v>
      </c>
      <c r="L125" s="481">
        <f t="shared" si="11"/>
        <v>0.15</v>
      </c>
      <c r="M125" s="485" t="str">
        <f t="shared" si="12"/>
        <v>50% Odor Threshold</v>
      </c>
      <c r="N125" s="483">
        <f>IF(O125=0,0,(VLOOKUP(A125,[2]!CCalcs,12,FALSE)))</f>
        <v>1.0295028301611046E-3</v>
      </c>
      <c r="O125" s="483">
        <f>(VLOOKUP(A125,[2]!CCalcs,4,FALSE))</f>
        <v>2.7043368489696383E-5</v>
      </c>
      <c r="P125" s="486">
        <v>1000</v>
      </c>
      <c r="Q125" s="486">
        <v>1</v>
      </c>
      <c r="R125" s="483">
        <f t="shared" si="13"/>
        <v>5387.6940848518425</v>
      </c>
      <c r="S125" s="481">
        <f>IF(R125=0,0,IF(VLOOKUP(A125,[1]!TOX,52,FALSE)=0,MIN(VLOOKUP(A125,[1]!TOX,79,FALSE),R125),MIN(VLOOKUP(A125,[1]!TOX,79,FALSE),R125,(VLOOKUP(A125,[1]!TOX,52,FALSE)))))</f>
        <v>5387.6940848518425</v>
      </c>
      <c r="T125" s="485" t="str">
        <f>IF(R125=0,0,IF(R125=S125,M125,IF(S125=(VLOOKUP(A125,[1]!TOX,52,FALSE)),"Greater than Solubility","Ceiling Value")))</f>
        <v>50% Odor Threshold</v>
      </c>
      <c r="U125" s="480">
        <f>IF(R125=0,0,IF(AND([1]Toxicity!$AZ121&gt;0,R125&gt;[1]Toxicity!$AZ121,[1]Toxicity!$AZ121&lt;[1]Toxicity!$CA121),0,MAX(S125,[1]Toxicity!AY121,[1]Toxicity!AN121)))</f>
        <v>5387.6940848518425</v>
      </c>
      <c r="V125" s="487">
        <f t="shared" si="25"/>
        <v>5000</v>
      </c>
      <c r="W125" s="488" t="str">
        <f>IF(R125=0,"NA",IF(U125=0,"NA, &gt; Solubility",IF(U125=S125,T125,IF(U125=(VLOOKUP(A125,[1]!TOX,40,FALSE)),"Groundwater Background","Water PQL"))))</f>
        <v>50% Odor Threshold</v>
      </c>
    </row>
    <row r="126" spans="1:23" x14ac:dyDescent="0.25">
      <c r="A126" s="479" t="s">
        <v>257</v>
      </c>
      <c r="B126" s="480">
        <f>(VLOOKUP(A126,[1]!TOX,8,FALSE)*'[1]Target Risk'!$D$8*'GW-2 Exp'!$G$18*'GW-2 Exp'!$E$18)</f>
        <v>0.2</v>
      </c>
      <c r="C126" s="481">
        <f>IF(VLOOKUP(A126,[1]!TOX,15,FALSE)=0,0,'[1]Target Risk'!$D$12/(VLOOKUP(A126,[1]!TOX,15,FALSE))*'GW-2 Exp'!$G$26)</f>
        <v>0</v>
      </c>
      <c r="D126" s="480">
        <f>IF(VLOOKUP(A126,[1]!TOX,15,FALSE)=0,0,IF(VLOOKUP(A126,[1]!TOX,36,FALSE)="M",'[1]Target Risk'!$D$12/((VLOOKUP(A126,[1]!TOX,15,FALSE))*(1*('GW-2 Exp'!$H$34))),0))</f>
        <v>0</v>
      </c>
      <c r="E126" s="482">
        <f>IF(VLOOKUP(A126,[1]!TOX,15,FALSE)=0,0,IF(VLOOKUP(A126,[1]!TOX,36,FALSE)="M",'[1]Target Risk'!$D$12/((VLOOKUP(A126,[1]!TOX,15,FALSE))*(1*('GW-2 Exp'!$H$34))),'[1]Target Risk'!$D$12/(VLOOKUP(A126,[1]!TOX,15,FALSE))*'GW-2 Exp'!$G$26))</f>
        <v>0</v>
      </c>
      <c r="F126" s="481">
        <f t="shared" si="14"/>
        <v>0.2</v>
      </c>
      <c r="G126" s="480" t="str">
        <f t="shared" si="26"/>
        <v>Noncancer</v>
      </c>
      <c r="H126" s="486">
        <f>0.5*(VLOOKUP(A126,[1]!TOX,46,FALSE))</f>
        <v>0</v>
      </c>
      <c r="I126" s="480">
        <f t="shared" si="9"/>
        <v>0.2</v>
      </c>
      <c r="J126" s="480" t="str">
        <f t="shared" si="10"/>
        <v>Noncancer</v>
      </c>
      <c r="K126" s="484">
        <f>(VLOOKUP(A126,[1]!TOX,41,FALSE))</f>
        <v>0</v>
      </c>
      <c r="L126" s="481">
        <f t="shared" si="11"/>
        <v>0.2</v>
      </c>
      <c r="M126" s="485" t="str">
        <f t="shared" si="12"/>
        <v>Noncancer</v>
      </c>
      <c r="N126" s="483">
        <f>IF(O126=0,0,(VLOOKUP(A126,[2]!CCalcs,12,FALSE)))</f>
        <v>0</v>
      </c>
      <c r="O126" s="483">
        <f>(VLOOKUP(A126,[2]!CCalcs,4,FALSE))</f>
        <v>0</v>
      </c>
      <c r="P126" s="486">
        <v>1000</v>
      </c>
      <c r="Q126" s="486">
        <v>1</v>
      </c>
      <c r="R126" s="483">
        <f t="shared" si="13"/>
        <v>0</v>
      </c>
      <c r="S126" s="481">
        <f>IF(R126=0,0,IF(VLOOKUP(A126,[1]!TOX,52,FALSE)=0,MIN(VLOOKUP(A126,[1]!TOX,79,FALSE),R126),MIN(VLOOKUP(A126,[1]!TOX,79,FALSE),R126,(VLOOKUP(A126,[1]!TOX,52,FALSE)))))</f>
        <v>0</v>
      </c>
      <c r="T126" s="485">
        <f>IF(R126=0,0,IF(R126=S126,M126,IF(S126=(VLOOKUP(A126,[1]!TOX,52,FALSE)),"Greater than Solubility","Ceiling Value")))</f>
        <v>0</v>
      </c>
      <c r="U126" s="480">
        <f>IF(R126=0,0,IF(AND([1]Toxicity!$AZ122&gt;0,R126&gt;[1]Toxicity!$AZ122,[1]Toxicity!$AZ122&lt;[1]Toxicity!$CA122),0,MAX(S126,[1]Toxicity!AY122,[1]Toxicity!AN122)))</f>
        <v>0</v>
      </c>
      <c r="V126" s="487">
        <f>U126</f>
        <v>0</v>
      </c>
      <c r="W126" s="488" t="str">
        <f>IF(R126=0,"NA",IF(U126=0,"NA, &gt; Solubility",IF(U126=S126,T126,IF(U126=(VLOOKUP(A126,[1]!TOX,40,FALSE)),"Groundwater Background","Water PQL"))))</f>
        <v>NA</v>
      </c>
    </row>
    <row r="127" spans="1:23" x14ac:dyDescent="0.25">
      <c r="A127" s="479" t="s">
        <v>258</v>
      </c>
      <c r="B127" s="480">
        <f>(VLOOKUP(A127,[1]!TOX,8,FALSE)*'[1]Target Risk'!$D$8*'GW-2 Exp'!$G$18*'GW-2 Exp'!$E$18)</f>
        <v>20.000000000000004</v>
      </c>
      <c r="C127" s="760">
        <f>IF(VLOOKUP(A127,[1]!TOX,15,FALSE)=0,0,'[1]Target Risk'!$D$12/(VLOOKUP(A127,[1]!TOX,15,FALSE))*'GW-2 Exp'!$G$26)</f>
        <v>0.53030303030303028</v>
      </c>
      <c r="D127" s="480">
        <f>'GW-2 TCE &amp; VC'!H18</f>
        <v>0.16233766233766231</v>
      </c>
      <c r="E127" s="482">
        <f>'GW-2 TCE &amp; VC'!H18</f>
        <v>0.16233766233766231</v>
      </c>
      <c r="F127" s="481">
        <f t="shared" si="14"/>
        <v>0.16233766233766231</v>
      </c>
      <c r="G127" s="480" t="str">
        <f t="shared" si="26"/>
        <v>Cancer</v>
      </c>
      <c r="H127" s="486">
        <f>0.5*(VLOOKUP(A127,[1]!TOX,46,FALSE))</f>
        <v>385622</v>
      </c>
      <c r="I127" s="480">
        <f t="shared" si="9"/>
        <v>0.16233766233766231</v>
      </c>
      <c r="J127" s="480" t="str">
        <f t="shared" si="10"/>
        <v>Cancer</v>
      </c>
      <c r="K127" s="484">
        <f>(VLOOKUP(A127,[1]!TOX,41,FALSE))</f>
        <v>0</v>
      </c>
      <c r="L127" s="481">
        <f t="shared" si="11"/>
        <v>0.16233766233766231</v>
      </c>
      <c r="M127" s="485" t="str">
        <f t="shared" si="12"/>
        <v>Cancer</v>
      </c>
      <c r="N127" s="483">
        <f>IF(O127=0,0,(VLOOKUP(A127,[2]!CCalcs,12,FALSE)))</f>
        <v>8.2717400736670682E-4</v>
      </c>
      <c r="O127" s="483">
        <f>(VLOOKUP(A127,[2]!CCalcs,4,FALSE))</f>
        <v>0.76516009926902662</v>
      </c>
      <c r="P127" s="486">
        <v>1000</v>
      </c>
      <c r="Q127" s="486">
        <v>1</v>
      </c>
      <c r="R127" s="483">
        <f t="shared" si="13"/>
        <v>0.25648979713001696</v>
      </c>
      <c r="S127" s="481">
        <f>IF(R127=0,0,IF(VLOOKUP(A127,[1]!TOX,52,FALSE)=0,MIN(VLOOKUP(A127,[1]!TOX,79,FALSE),R127),MIN(VLOOKUP(A127,[1]!TOX,79,FALSE),R127,(VLOOKUP(A127,[1]!TOX,52,FALSE)))))</f>
        <v>0.25648979713001696</v>
      </c>
      <c r="T127" s="485" t="str">
        <f>IF(R127=0,0,IF(R127=S127,M127,IF(S127=(VLOOKUP(A127,[1]!TOX,52,FALSE)),"Greater than Solubility","Ceiling Value")))</f>
        <v>Cancer</v>
      </c>
      <c r="U127" s="480">
        <f>IF(R127=0,0,IF(AND([1]Toxicity!$AZ123&gt;0,R127&gt;[1]Toxicity!$AZ123,[1]Toxicity!$AZ123&lt;[1]Toxicity!$CA123),0,MAX(S127,[1]Toxicity!AY123,[1]Toxicity!AN123)))</f>
        <v>1.5</v>
      </c>
      <c r="V127" s="487">
        <f t="shared" si="25"/>
        <v>2</v>
      </c>
      <c r="W127" s="488" t="str">
        <f>IF(R127=0,"NA",IF(U127=0,"NA, &gt; Solubility",IF(U127=S127,T127,IF(U127=(VLOOKUP(A127,[1]!TOX,40,FALSE)),"Groundwater Background","Water PQL"))))</f>
        <v>Water PQL</v>
      </c>
    </row>
    <row r="128" spans="1:23" x14ac:dyDescent="0.25">
      <c r="A128" s="479" t="s">
        <v>286</v>
      </c>
      <c r="B128" s="480">
        <f>(VLOOKUP(A128,[1]!TOX,8,FALSE)*'[1]Target Risk'!$D$8*'GW-2 Exp'!$G$18*'GW-2 Exp'!$E$18)</f>
        <v>20.000000000000004</v>
      </c>
      <c r="C128" s="481">
        <f>IF(VLOOKUP(A128,[1]!TOX,15,FALSE)=0,0,'[1]Target Risk'!$D$12/(VLOOKUP(A128,[1]!TOX,15,FALSE))*'GW-2 Exp'!$G$26)</f>
        <v>0</v>
      </c>
      <c r="D128" s="480">
        <f>IF(VLOOKUP(A128,[1]!TOX,15,FALSE)=0,0,IF(VLOOKUP(A128,[1]!TOX,36,FALSE)="M",'[1]Target Risk'!$D$12/((VLOOKUP(A128,[1]!TOX,15,FALSE))*(1*('GW-2 Exp'!$H$34))),0))</f>
        <v>0</v>
      </c>
      <c r="E128" s="482">
        <f>IF(VLOOKUP(A128,[1]!TOX,15,FALSE)=0,0,IF(VLOOKUP(A128,[1]!TOX,36,FALSE)="M",'[1]Target Risk'!$D$12/((VLOOKUP(A128,[1]!TOX,15,FALSE))*(1*('GW-2 Exp'!$H$34))),'[1]Target Risk'!$D$12/(VLOOKUP(A128,[1]!TOX,15,FALSE))*'GW-2 Exp'!$G$26))</f>
        <v>0</v>
      </c>
      <c r="F128" s="481">
        <f t="shared" si="14"/>
        <v>20.000000000000004</v>
      </c>
      <c r="G128" s="480" t="str">
        <f t="shared" si="26"/>
        <v>Noncancer</v>
      </c>
      <c r="H128" s="486">
        <f>0.5*(VLOOKUP(A128,[1]!TOX,46,FALSE))</f>
        <v>220.5</v>
      </c>
      <c r="I128" s="480">
        <f t="shared" si="9"/>
        <v>20.000000000000004</v>
      </c>
      <c r="J128" s="480" t="str">
        <f t="shared" si="10"/>
        <v>Noncancer</v>
      </c>
      <c r="K128" s="484">
        <f>(VLOOKUP(A128,[1]!TOX,41,FALSE))</f>
        <v>28</v>
      </c>
      <c r="L128" s="481">
        <f t="shared" si="11"/>
        <v>28</v>
      </c>
      <c r="M128" s="485" t="str">
        <f t="shared" si="12"/>
        <v>Background Indoor Air</v>
      </c>
      <c r="N128" s="483">
        <f>IF(O128=0,0,(VLOOKUP(A128,[2]!CCalcs,12,FALSE)))</f>
        <v>7.4591458604617673E-4</v>
      </c>
      <c r="O128" s="483">
        <f>(VLOOKUP(A128,[2]!CCalcs,4,FALSE))</f>
        <v>0.1141311184529019</v>
      </c>
      <c r="P128" s="486">
        <v>1000</v>
      </c>
      <c r="Q128" s="486">
        <v>10</v>
      </c>
      <c r="R128" s="483">
        <f t="shared" si="13"/>
        <v>3289.007459065404</v>
      </c>
      <c r="S128" s="481">
        <f>IF(R128=0,0,IF(VLOOKUP(A128,[1]!TOX,52,FALSE)=0,MIN(VLOOKUP(A128,[1]!TOX,79,FALSE),R128),MIN(VLOOKUP(A128,[1]!TOX,79,FALSE),R128,(VLOOKUP(A128,[1]!TOX,52,FALSE)))))</f>
        <v>3289.007459065404</v>
      </c>
      <c r="T128" s="485" t="str">
        <f>IF(R128=0,0,IF(R128=S128,M128,IF(S128=(VLOOKUP(A128,[1]!TOX,52,FALSE)),"Greater than Solubility","Ceiling Value")))</f>
        <v>Background Indoor Air</v>
      </c>
      <c r="U128" s="480">
        <f>IF(R128=0,0,IF(AND([1]Toxicity!$AZ124&gt;0,R128&gt;[1]Toxicity!$AZ124,[1]Toxicity!$AZ124&lt;[1]Toxicity!$CA124),0,MAX(S128,[1]Toxicity!AY124,[1]Toxicity!AN124)))</f>
        <v>3289.007459065404</v>
      </c>
      <c r="V128" s="487">
        <f t="shared" si="25"/>
        <v>3000</v>
      </c>
      <c r="W128" s="488" t="str">
        <f>IF(R128=0,"NA",IF(U128=0,"NA, &gt; Solubility",IF(U128=S128,T128,IF(U128=(VLOOKUP(A128,[1]!TOX,40,FALSE)),"Groundwater Background","Water PQL"))))</f>
        <v>Background Indoor Air</v>
      </c>
    </row>
    <row r="129" spans="1:23" ht="13" thickBot="1" x14ac:dyDescent="0.3">
      <c r="A129" s="489" t="s">
        <v>259</v>
      </c>
      <c r="B129" s="490">
        <f>(VLOOKUP(A129,[1]!TOX,8,FALSE)*'[1]Target Risk'!$D$8*'GW-2 Exp'!$G$18*'GW-2 Exp'!$E$18)</f>
        <v>0.28000000000000003</v>
      </c>
      <c r="C129" s="491">
        <f>IF(VLOOKUP(A129,[1]!TOX,15,FALSE)=0,0,'[1]Target Risk'!$D$12/(VLOOKUP(A129,[1]!TOX,15,FALSE))*'GW-2 Exp'!$G$26)</f>
        <v>0</v>
      </c>
      <c r="D129" s="490">
        <f>IF(VLOOKUP(A129,[1]!TOX,15,FALSE)=0,0,IF(VLOOKUP(A129,[1]!TOX,36,FALSE)="M",'[1]Target Risk'!$D$12/((VLOOKUP(A129,[1]!TOX,15,FALSE))*(1*('GW-2 Exp'!$H$34))),0))</f>
        <v>0</v>
      </c>
      <c r="E129" s="492">
        <f>IF(VLOOKUP(A129,[1]!TOX,15,FALSE)=0,0,IF(VLOOKUP(A129,[1]!TOX,36,FALSE)="M",'[1]Target Risk'!$D$12/((VLOOKUP(A129,[1]!TOX,15,FALSE))*(1*('GW-2 Exp'!$H$34))),'[1]Target Risk'!$D$12/(VLOOKUP(A129,[1]!TOX,15,FALSE))*'GW-2 Exp'!$G$26))</f>
        <v>0</v>
      </c>
      <c r="F129" s="491">
        <f t="shared" si="14"/>
        <v>0.28000000000000003</v>
      </c>
      <c r="G129" s="490" t="str">
        <f t="shared" si="26"/>
        <v>Noncancer</v>
      </c>
      <c r="H129" s="496">
        <f>0.5*(VLOOKUP(A129,[1]!TOX,46,FALSE))</f>
        <v>0</v>
      </c>
      <c r="I129" s="490">
        <f t="shared" si="9"/>
        <v>0.28000000000000003</v>
      </c>
      <c r="J129" s="490" t="str">
        <f t="shared" si="10"/>
        <v>Noncancer</v>
      </c>
      <c r="K129" s="494">
        <f>(VLOOKUP(A129,[1]!TOX,41,FALSE))</f>
        <v>0</v>
      </c>
      <c r="L129" s="491">
        <f t="shared" si="11"/>
        <v>0.28000000000000003</v>
      </c>
      <c r="M129" s="495" t="str">
        <f t="shared" si="12"/>
        <v>Noncancer</v>
      </c>
      <c r="N129" s="493">
        <f>IF(O129=0,0,(VLOOKUP(A129,[2]!CCalcs,12,FALSE)))</f>
        <v>0</v>
      </c>
      <c r="O129" s="493">
        <f>(VLOOKUP(A129,[2]!CCalcs,4,FALSE))</f>
        <v>0</v>
      </c>
      <c r="P129" s="496">
        <v>1000</v>
      </c>
      <c r="Q129" s="496">
        <v>1</v>
      </c>
      <c r="R129" s="493">
        <f t="shared" si="13"/>
        <v>0</v>
      </c>
      <c r="S129" s="491">
        <f>IF(R129=0,0,IF(VLOOKUP(A129,[1]!TOX,52,FALSE)=0,MIN(VLOOKUP(A129,[1]!TOX,79,FALSE),R129),MIN(VLOOKUP(A129,[1]!TOX,79,FALSE),R129,(VLOOKUP(A129,[1]!TOX,52,FALSE)))))</f>
        <v>0</v>
      </c>
      <c r="T129" s="495">
        <f>IF(R129=0,0,IF(R129=S129,M129,IF(S129=(VLOOKUP(A129,[1]!TOX,52,FALSE)),"Greater than Solubility","Ceiling Value")))</f>
        <v>0</v>
      </c>
      <c r="U129" s="490">
        <f>IF(R129=0,0,IF(AND([1]Toxicity!$AZ125&gt;0,R129&gt;[1]Toxicity!$AZ125,[1]Toxicity!$AZ125&lt;[1]Toxicity!$CA125),0,MAX(S129,[1]Toxicity!AY125,[1]Toxicity!AN125)))</f>
        <v>0</v>
      </c>
      <c r="V129" s="497">
        <f>U129</f>
        <v>0</v>
      </c>
      <c r="W129" s="498" t="str">
        <f>IF(R129=0,"NA",IF(U129=0,"NA, &gt; Solubility",IF(U129=S129,T129,IF(U129=(VLOOKUP(A129,[1]!TOX,40,FALSE)),"Groundwater Background","Water PQL"))))</f>
        <v>NA</v>
      </c>
    </row>
    <row r="130" spans="1:23" x14ac:dyDescent="0.25">
      <c r="N130" s="358"/>
      <c r="O130" s="358"/>
      <c r="U130" s="359"/>
      <c r="V130" s="361"/>
    </row>
    <row r="131" spans="1:23" x14ac:dyDescent="0.25">
      <c r="N131" s="358"/>
      <c r="O131" s="358"/>
      <c r="U131" s="359"/>
      <c r="V131" s="361"/>
    </row>
    <row r="132" spans="1:23" x14ac:dyDescent="0.25">
      <c r="U132" s="359"/>
      <c r="V132" s="361"/>
    </row>
    <row r="133" spans="1:23" x14ac:dyDescent="0.25">
      <c r="U133" s="359"/>
      <c r="V133" s="361"/>
    </row>
    <row r="134" spans="1:23" x14ac:dyDescent="0.25">
      <c r="U134" s="359"/>
      <c r="V134" s="361"/>
    </row>
    <row r="135" spans="1:23" x14ac:dyDescent="0.25">
      <c r="U135" s="359"/>
      <c r="V135" s="361"/>
    </row>
  </sheetData>
  <sheetProtection sheet="1" objects="1" scenarios="1"/>
  <mergeCells count="15">
    <mergeCell ref="B1:G1"/>
    <mergeCell ref="B2:G2"/>
    <mergeCell ref="I3:J3"/>
    <mergeCell ref="I4:J4"/>
    <mergeCell ref="V3:W3"/>
    <mergeCell ref="V4:W4"/>
    <mergeCell ref="V5:W5"/>
    <mergeCell ref="I5:J5"/>
    <mergeCell ref="S2:T2"/>
    <mergeCell ref="S3:T3"/>
    <mergeCell ref="S4:T4"/>
    <mergeCell ref="S5:T5"/>
    <mergeCell ref="L2:M2"/>
    <mergeCell ref="L3:M3"/>
    <mergeCell ref="L4:M4"/>
  </mergeCells>
  <phoneticPr fontId="0" type="noConversion"/>
  <pageMargins left="0.75" right="0.75" top="0.75" bottom="1" header="0.5" footer="0.5"/>
  <pageSetup scale="7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ignoredErrors>
    <ignoredError sqref="V29 V126 V118" formula="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34"/>
  <sheetViews>
    <sheetView showGridLines="0" zoomScaleNormal="100" workbookViewId="0">
      <selection activeCell="A2" sqref="A2"/>
    </sheetView>
  </sheetViews>
  <sheetFormatPr defaultColWidth="9" defaultRowHeight="12.5" x14ac:dyDescent="0.25"/>
  <cols>
    <col min="1" max="1" width="27.33203125" style="1" customWidth="1"/>
    <col min="2" max="2" width="10.25" style="1" bestFit="1" customWidth="1"/>
    <col min="3" max="3" width="11.6640625" style="1" bestFit="1" customWidth="1"/>
    <col min="4" max="5" width="9" style="1"/>
    <col min="6" max="6" width="12.9140625" style="1" bestFit="1" customWidth="1"/>
    <col min="7" max="7" width="22.08203125" style="1" customWidth="1"/>
    <col min="8" max="8" width="13.58203125" style="1" bestFit="1" customWidth="1"/>
    <col min="9" max="9" width="12.6640625" style="1" customWidth="1"/>
    <col min="10" max="10" width="9" style="1"/>
    <col min="11" max="11" width="12.6640625" style="1" bestFit="1" customWidth="1"/>
    <col min="12" max="16384" width="9" style="1"/>
  </cols>
  <sheetData>
    <row r="1" spans="1:8" ht="13" x14ac:dyDescent="0.3">
      <c r="A1" s="7" t="s">
        <v>436</v>
      </c>
    </row>
    <row r="2" spans="1:8" ht="12.65" customHeight="1" x14ac:dyDescent="0.25"/>
    <row r="3" spans="1:8" x14ac:dyDescent="0.25">
      <c r="A3" s="104" t="s">
        <v>437</v>
      </c>
    </row>
    <row r="4" spans="1:8" x14ac:dyDescent="0.25">
      <c r="A4" s="104" t="s">
        <v>332</v>
      </c>
    </row>
    <row r="5" spans="1:8" x14ac:dyDescent="0.25">
      <c r="A5" s="104" t="s">
        <v>438</v>
      </c>
    </row>
    <row r="6" spans="1:8" hidden="1" x14ac:dyDescent="0.25">
      <c r="A6" s="3"/>
    </row>
    <row r="7" spans="1:8" hidden="1" x14ac:dyDescent="0.25">
      <c r="A7" s="3"/>
    </row>
    <row r="8" spans="1:8" ht="7.75" customHeight="1" x14ac:dyDescent="0.25">
      <c r="A8" s="3"/>
    </row>
    <row r="9" spans="1:8" ht="13" x14ac:dyDescent="0.3">
      <c r="A9" s="47" t="s">
        <v>970</v>
      </c>
    </row>
    <row r="10" spans="1:8" ht="25.5" x14ac:dyDescent="0.25">
      <c r="A10" s="42"/>
      <c r="B10" s="21"/>
      <c r="C10" s="21"/>
      <c r="D10" s="21"/>
      <c r="E10" s="21"/>
      <c r="F10" s="21"/>
      <c r="G10" s="21" t="s">
        <v>309</v>
      </c>
      <c r="H10" s="334" t="s">
        <v>1050</v>
      </c>
    </row>
    <row r="11" spans="1:8" ht="25" x14ac:dyDescent="0.25">
      <c r="A11" s="5"/>
      <c r="B11" s="10" t="s">
        <v>289</v>
      </c>
      <c r="C11" s="10" t="s">
        <v>289</v>
      </c>
      <c r="D11" s="10" t="s">
        <v>290</v>
      </c>
      <c r="E11" s="10" t="s">
        <v>276</v>
      </c>
      <c r="F11" s="10" t="s">
        <v>276</v>
      </c>
      <c r="G11" s="10" t="s">
        <v>21</v>
      </c>
      <c r="H11" s="335" t="s">
        <v>1049</v>
      </c>
    </row>
    <row r="12" spans="1:8" ht="13" x14ac:dyDescent="0.3">
      <c r="A12" s="9"/>
      <c r="B12" s="10" t="s">
        <v>293</v>
      </c>
      <c r="C12" s="10" t="s">
        <v>294</v>
      </c>
      <c r="D12" s="10" t="s">
        <v>294</v>
      </c>
      <c r="E12" s="10" t="s">
        <v>295</v>
      </c>
      <c r="F12" s="10" t="s">
        <v>295</v>
      </c>
      <c r="G12" s="10" t="s">
        <v>434</v>
      </c>
      <c r="H12" s="17" t="s">
        <v>971</v>
      </c>
    </row>
    <row r="13" spans="1:8" ht="15.5" x14ac:dyDescent="0.4">
      <c r="A13" s="9"/>
      <c r="B13" s="10" t="s">
        <v>435</v>
      </c>
      <c r="C13" s="10" t="s">
        <v>299</v>
      </c>
      <c r="D13" s="10" t="s">
        <v>300</v>
      </c>
      <c r="E13" s="10" t="s">
        <v>301</v>
      </c>
      <c r="F13" s="10" t="s">
        <v>302</v>
      </c>
      <c r="G13" s="10" t="s">
        <v>450</v>
      </c>
      <c r="H13" s="19" t="s">
        <v>917</v>
      </c>
    </row>
    <row r="14" spans="1:8" x14ac:dyDescent="0.25">
      <c r="A14" s="27"/>
      <c r="B14" s="4" t="s">
        <v>307</v>
      </c>
      <c r="C14" s="4" t="s">
        <v>306</v>
      </c>
      <c r="D14" s="4" t="s">
        <v>306</v>
      </c>
      <c r="E14" s="4" t="s">
        <v>24</v>
      </c>
      <c r="F14" s="4" t="s">
        <v>307</v>
      </c>
      <c r="G14" s="4" t="s">
        <v>879</v>
      </c>
      <c r="H14" s="19" t="s">
        <v>879</v>
      </c>
    </row>
    <row r="15" spans="1:8" ht="13" x14ac:dyDescent="0.3">
      <c r="A15" s="8" t="s">
        <v>308</v>
      </c>
      <c r="B15" s="21"/>
      <c r="C15" s="21"/>
      <c r="D15" s="21"/>
      <c r="E15" s="21"/>
      <c r="F15" s="10"/>
      <c r="G15" s="10"/>
      <c r="H15" s="17"/>
    </row>
    <row r="16" spans="1:8" ht="13" x14ac:dyDescent="0.3">
      <c r="A16" s="9"/>
      <c r="B16" s="10"/>
      <c r="C16" s="10"/>
      <c r="D16" s="10"/>
      <c r="E16" s="10"/>
      <c r="F16" s="10"/>
      <c r="G16" s="10"/>
      <c r="H16" s="17"/>
    </row>
    <row r="17" spans="1:8" x14ac:dyDescent="0.25">
      <c r="A17" s="5" t="s">
        <v>310</v>
      </c>
      <c r="B17" s="10"/>
      <c r="C17" s="10"/>
      <c r="D17" s="10"/>
      <c r="E17" s="10"/>
      <c r="F17" s="10"/>
      <c r="G17" s="10"/>
      <c r="H17" s="17"/>
    </row>
    <row r="18" spans="1:8" x14ac:dyDescent="0.25">
      <c r="A18" s="11" t="s">
        <v>894</v>
      </c>
      <c r="B18" s="4">
        <v>365</v>
      </c>
      <c r="C18" s="4">
        <v>7</v>
      </c>
      <c r="D18" s="4">
        <v>7</v>
      </c>
      <c r="E18" s="18">
        <v>1000</v>
      </c>
      <c r="F18" s="18">
        <v>365</v>
      </c>
      <c r="G18" s="24">
        <f>D18*F18/(B18*C18)</f>
        <v>1</v>
      </c>
      <c r="H18" s="17"/>
    </row>
    <row r="19" spans="1:8" ht="13" x14ac:dyDescent="0.3">
      <c r="A19" s="9"/>
      <c r="B19" s="10"/>
      <c r="C19" s="10"/>
      <c r="D19" s="10"/>
      <c r="E19" s="10"/>
      <c r="F19" s="10"/>
      <c r="G19" s="10"/>
      <c r="H19" s="17"/>
    </row>
    <row r="20" spans="1:8" ht="13" x14ac:dyDescent="0.3">
      <c r="A20" s="26" t="s">
        <v>311</v>
      </c>
      <c r="B20" s="10"/>
      <c r="C20" s="10"/>
      <c r="D20" s="10"/>
      <c r="E20" s="10"/>
      <c r="F20" s="10"/>
      <c r="G20" s="10"/>
      <c r="H20" s="17"/>
    </row>
    <row r="21" spans="1:8" ht="13" x14ac:dyDescent="0.3">
      <c r="A21" s="9"/>
      <c r="B21" s="10"/>
      <c r="C21" s="10"/>
      <c r="D21" s="10"/>
      <c r="E21" s="10"/>
      <c r="F21" s="10"/>
      <c r="G21" s="10"/>
      <c r="H21" s="17"/>
    </row>
    <row r="22" spans="1:8" x14ac:dyDescent="0.25">
      <c r="A22" s="5" t="s">
        <v>310</v>
      </c>
      <c r="B22" s="10"/>
      <c r="C22" s="10"/>
      <c r="D22" s="10"/>
      <c r="E22" s="10"/>
      <c r="F22" s="10"/>
      <c r="G22" s="10"/>
      <c r="H22" s="17"/>
    </row>
    <row r="23" spans="1:8" x14ac:dyDescent="0.25">
      <c r="A23" s="6" t="s">
        <v>894</v>
      </c>
      <c r="B23" s="10">
        <v>365</v>
      </c>
      <c r="C23" s="10">
        <v>7</v>
      </c>
      <c r="D23" s="10"/>
      <c r="E23" s="10"/>
      <c r="F23" s="10"/>
      <c r="G23" s="10"/>
      <c r="H23" s="17"/>
    </row>
    <row r="24" spans="1:8" x14ac:dyDescent="0.25">
      <c r="A24" s="6" t="s">
        <v>895</v>
      </c>
      <c r="B24" s="10">
        <v>365</v>
      </c>
      <c r="C24" s="10">
        <v>7</v>
      </c>
      <c r="D24" s="10"/>
      <c r="E24" s="10"/>
      <c r="F24" s="10"/>
      <c r="G24" s="10"/>
      <c r="H24" s="17"/>
    </row>
    <row r="25" spans="1:8" x14ac:dyDescent="0.25">
      <c r="A25" s="11" t="s">
        <v>896</v>
      </c>
      <c r="B25" s="4">
        <v>365</v>
      </c>
      <c r="C25" s="4">
        <v>16</v>
      </c>
      <c r="D25" s="4"/>
      <c r="E25" s="4"/>
      <c r="F25" s="4"/>
      <c r="G25" s="4"/>
      <c r="H25" s="17"/>
    </row>
    <row r="26" spans="1:8" x14ac:dyDescent="0.25">
      <c r="A26" s="6" t="s">
        <v>340</v>
      </c>
      <c r="B26" s="20">
        <v>365</v>
      </c>
      <c r="C26" s="20">
        <f>SUM(C23:C25)</f>
        <v>30</v>
      </c>
      <c r="D26" s="20">
        <v>70</v>
      </c>
      <c r="E26" s="20"/>
      <c r="F26" s="20">
        <v>365</v>
      </c>
      <c r="G26" s="43">
        <f>D26*F26/(C26*B26)</f>
        <v>2.3333333333333335</v>
      </c>
      <c r="H26" s="17"/>
    </row>
    <row r="27" spans="1:8" x14ac:dyDescent="0.25">
      <c r="A27" s="6"/>
      <c r="B27" s="20"/>
      <c r="C27" s="20"/>
      <c r="D27" s="20"/>
      <c r="E27" s="20"/>
      <c r="F27" s="20"/>
      <c r="G27" s="20"/>
      <c r="H27" s="17"/>
    </row>
    <row r="28" spans="1:8" ht="13" x14ac:dyDescent="0.3">
      <c r="A28" s="25" t="s">
        <v>897</v>
      </c>
      <c r="B28" s="20"/>
      <c r="C28" s="20"/>
      <c r="D28" s="20"/>
      <c r="E28" s="20"/>
      <c r="F28" s="20"/>
      <c r="G28" s="20"/>
      <c r="H28" s="17"/>
    </row>
    <row r="29" spans="1:8" x14ac:dyDescent="0.25">
      <c r="A29" s="6"/>
      <c r="B29" s="20"/>
      <c r="C29" s="20"/>
      <c r="D29" s="20"/>
      <c r="E29" s="20"/>
      <c r="F29" s="20"/>
      <c r="G29" s="20"/>
      <c r="H29" s="17"/>
    </row>
    <row r="30" spans="1:8" x14ac:dyDescent="0.25">
      <c r="A30" s="6" t="s">
        <v>899</v>
      </c>
      <c r="B30" s="10">
        <v>365</v>
      </c>
      <c r="C30" s="20">
        <v>2</v>
      </c>
      <c r="D30" s="20">
        <v>70</v>
      </c>
      <c r="E30" s="20"/>
      <c r="F30" s="20">
        <v>365</v>
      </c>
      <c r="G30" s="28">
        <f>(B30*C30)/(D30*F30)</f>
        <v>2.8571428571428571E-2</v>
      </c>
      <c r="H30" s="44">
        <f>G30*10</f>
        <v>0.2857142857142857</v>
      </c>
    </row>
    <row r="31" spans="1:8" x14ac:dyDescent="0.25">
      <c r="A31" s="6" t="s">
        <v>898</v>
      </c>
      <c r="B31" s="10">
        <v>365</v>
      </c>
      <c r="C31" s="20">
        <v>4</v>
      </c>
      <c r="D31" s="20">
        <v>70</v>
      </c>
      <c r="E31" s="20"/>
      <c r="F31" s="20">
        <v>365</v>
      </c>
      <c r="G31" s="28">
        <f>(B31*C31)/(D31*F31)</f>
        <v>5.7142857142857141E-2</v>
      </c>
      <c r="H31" s="44">
        <f>G31*3</f>
        <v>0.17142857142857143</v>
      </c>
    </row>
    <row r="32" spans="1:8" x14ac:dyDescent="0.25">
      <c r="A32" s="6" t="s">
        <v>900</v>
      </c>
      <c r="B32" s="10">
        <v>365</v>
      </c>
      <c r="C32" s="20">
        <v>10</v>
      </c>
      <c r="D32" s="20">
        <v>70</v>
      </c>
      <c r="E32" s="20"/>
      <c r="F32" s="20">
        <v>365</v>
      </c>
      <c r="G32" s="28">
        <f>(B32*C32)/(D32*F32)</f>
        <v>0.14285714285714285</v>
      </c>
      <c r="H32" s="44">
        <f>G32*3</f>
        <v>0.42857142857142855</v>
      </c>
    </row>
    <row r="33" spans="1:8" x14ac:dyDescent="0.25">
      <c r="A33" s="11" t="s">
        <v>901</v>
      </c>
      <c r="B33" s="4">
        <v>365</v>
      </c>
      <c r="C33" s="18">
        <v>14</v>
      </c>
      <c r="D33" s="18">
        <v>70</v>
      </c>
      <c r="E33" s="18"/>
      <c r="F33" s="18">
        <v>365</v>
      </c>
      <c r="G33" s="39">
        <f>(B33*C33)/(D33*F33)</f>
        <v>0.2</v>
      </c>
      <c r="H33" s="45">
        <f>G33*1</f>
        <v>0.2</v>
      </c>
    </row>
    <row r="34" spans="1:8" x14ac:dyDescent="0.25">
      <c r="F34" s="41"/>
      <c r="G34" s="46" t="s">
        <v>918</v>
      </c>
      <c r="H34" s="40">
        <f>SUM(H30:H33)</f>
        <v>1.0857142857142856</v>
      </c>
    </row>
  </sheetData>
  <sheetProtection sheet="1" objects="1" scenarios="1"/>
  <phoneticPr fontId="0" type="noConversion"/>
  <printOptions horizontalCentered="1"/>
  <pageMargins left="0.75" right="0.75" top="1" bottom="1" header="0.5" footer="0.5"/>
  <pageSetup scale="9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30"/>
  <sheetViews>
    <sheetView showGridLines="0" showZeros="0" workbookViewId="0">
      <pane xSplit="1" ySplit="2" topLeftCell="B3" activePane="bottomRight" state="frozen"/>
      <selection pane="topRight" activeCell="B1" sqref="B1"/>
      <selection pane="bottomLeft" activeCell="A3" sqref="A3"/>
      <selection pane="bottomRight" activeCell="A3" sqref="A3"/>
    </sheetView>
  </sheetViews>
  <sheetFormatPr defaultColWidth="8.9140625" defaultRowHeight="12.5" x14ac:dyDescent="0.25"/>
  <cols>
    <col min="1" max="1" width="36" style="67" customWidth="1"/>
    <col min="2" max="2" width="11" style="638" customWidth="1"/>
    <col min="3" max="6" width="8.9140625" style="638"/>
    <col min="7" max="7" width="16.08203125" style="638" customWidth="1"/>
    <col min="8" max="8" width="2.33203125" style="638" customWidth="1"/>
    <col min="9" max="16384" width="8.9140625" style="638"/>
  </cols>
  <sheetData>
    <row r="1" spans="1:7" ht="16" thickBot="1" x14ac:dyDescent="0.3">
      <c r="A1" s="637" t="s">
        <v>875</v>
      </c>
      <c r="C1" s="639"/>
      <c r="D1" s="639"/>
      <c r="E1" s="639"/>
      <c r="F1" s="639"/>
    </row>
    <row r="2" spans="1:7" ht="26.5" thickBot="1" x14ac:dyDescent="0.3">
      <c r="A2" s="645" t="s">
        <v>1057</v>
      </c>
      <c r="B2" s="646" t="s">
        <v>870</v>
      </c>
      <c r="C2" s="647" t="s">
        <v>871</v>
      </c>
      <c r="D2" s="647" t="s">
        <v>872</v>
      </c>
      <c r="E2" s="647" t="s">
        <v>873</v>
      </c>
      <c r="F2" s="646" t="s">
        <v>877</v>
      </c>
      <c r="G2" s="648" t="s">
        <v>876</v>
      </c>
    </row>
    <row r="3" spans="1:7" x14ac:dyDescent="0.25">
      <c r="A3" s="624" t="s">
        <v>158</v>
      </c>
      <c r="B3" s="640" t="str">
        <f t="shared" ref="B3:B34" si="0">VLOOKUP(A3,GWTwo,7,FALSE)</f>
        <v>Noncancer</v>
      </c>
      <c r="C3" s="625"/>
      <c r="D3" s="625"/>
      <c r="E3" s="625"/>
      <c r="F3" s="626"/>
      <c r="G3" s="627">
        <f>IF(E3&lt;&gt;"",E3,F3)</f>
        <v>0</v>
      </c>
    </row>
    <row r="4" spans="1:7" x14ac:dyDescent="0.25">
      <c r="A4" s="628" t="s">
        <v>159</v>
      </c>
      <c r="B4" s="641" t="str">
        <f t="shared" si="0"/>
        <v>Noncancer</v>
      </c>
      <c r="C4" s="629"/>
      <c r="D4" s="629"/>
      <c r="E4" s="629"/>
      <c r="F4" s="630"/>
      <c r="G4" s="631">
        <f t="shared" ref="G4:G67" si="1">IF(E4&lt;&gt;"",E4,F4)</f>
        <v>0</v>
      </c>
    </row>
    <row r="5" spans="1:7" x14ac:dyDescent="0.25">
      <c r="A5" s="628" t="s">
        <v>160</v>
      </c>
      <c r="B5" s="641" t="str">
        <f t="shared" si="0"/>
        <v>Noncancer</v>
      </c>
      <c r="C5" s="632">
        <v>26</v>
      </c>
      <c r="D5" s="632">
        <v>52</v>
      </c>
      <c r="E5" s="632">
        <v>91</v>
      </c>
      <c r="F5" s="630">
        <v>27.04</v>
      </c>
      <c r="G5" s="631">
        <f t="shared" si="1"/>
        <v>91</v>
      </c>
    </row>
    <row r="6" spans="1:7" x14ac:dyDescent="0.25">
      <c r="A6" s="628" t="s">
        <v>161</v>
      </c>
      <c r="B6" s="641" t="str">
        <f t="shared" si="0"/>
        <v>Cancer</v>
      </c>
      <c r="C6" s="632"/>
      <c r="D6" s="632"/>
      <c r="E6" s="632"/>
      <c r="F6" s="630"/>
      <c r="G6" s="631">
        <f t="shared" si="1"/>
        <v>0</v>
      </c>
    </row>
    <row r="7" spans="1:7" x14ac:dyDescent="0.25">
      <c r="A7" s="628" t="s">
        <v>162</v>
      </c>
      <c r="B7" s="641" t="str">
        <f t="shared" si="0"/>
        <v>Noncancer</v>
      </c>
      <c r="C7" s="632"/>
      <c r="D7" s="632"/>
      <c r="E7" s="632"/>
      <c r="F7" s="630"/>
      <c r="G7" s="631">
        <f t="shared" si="1"/>
        <v>0</v>
      </c>
    </row>
    <row r="8" spans="1:7" x14ac:dyDescent="0.25">
      <c r="A8" s="628" t="s">
        <v>163</v>
      </c>
      <c r="B8" s="641" t="str">
        <f t="shared" si="0"/>
        <v>Noncancer</v>
      </c>
      <c r="C8" s="632"/>
      <c r="D8" s="632"/>
      <c r="E8" s="632"/>
      <c r="F8" s="630"/>
      <c r="G8" s="631">
        <f t="shared" si="1"/>
        <v>0</v>
      </c>
    </row>
    <row r="9" spans="1:7" x14ac:dyDescent="0.25">
      <c r="A9" s="628" t="s">
        <v>164</v>
      </c>
      <c r="B9" s="641" t="str">
        <f t="shared" si="0"/>
        <v>Cancer</v>
      </c>
      <c r="C9" s="632"/>
      <c r="D9" s="632"/>
      <c r="E9" s="632"/>
      <c r="F9" s="630"/>
      <c r="G9" s="631">
        <f t="shared" si="1"/>
        <v>0</v>
      </c>
    </row>
    <row r="10" spans="1:7" x14ac:dyDescent="0.25">
      <c r="A10" s="628" t="s">
        <v>166</v>
      </c>
      <c r="B10" s="641" t="str">
        <f t="shared" si="0"/>
        <v>Noncancer</v>
      </c>
      <c r="C10" s="632"/>
      <c r="D10" s="632"/>
      <c r="E10" s="632"/>
      <c r="F10" s="630"/>
      <c r="G10" s="631">
        <f t="shared" si="1"/>
        <v>0</v>
      </c>
    </row>
    <row r="11" spans="1:7" x14ac:dyDescent="0.25">
      <c r="A11" s="628" t="s">
        <v>167</v>
      </c>
      <c r="B11" s="641" t="str">
        <f t="shared" si="0"/>
        <v>Cancer</v>
      </c>
      <c r="C11" s="632">
        <v>2.2999999999999998</v>
      </c>
      <c r="D11" s="632">
        <v>3.6</v>
      </c>
      <c r="E11" s="632">
        <v>11</v>
      </c>
      <c r="F11" s="630">
        <v>21</v>
      </c>
      <c r="G11" s="631">
        <f t="shared" si="1"/>
        <v>11</v>
      </c>
    </row>
    <row r="12" spans="1:7" x14ac:dyDescent="0.25">
      <c r="A12" s="628" t="s">
        <v>168</v>
      </c>
      <c r="B12" s="641" t="str">
        <f t="shared" si="0"/>
        <v>Cancer</v>
      </c>
      <c r="C12" s="632"/>
      <c r="D12" s="632"/>
      <c r="E12" s="632"/>
      <c r="F12" s="630"/>
      <c r="G12" s="631">
        <f t="shared" si="1"/>
        <v>0</v>
      </c>
    </row>
    <row r="13" spans="1:7" x14ac:dyDescent="0.25">
      <c r="A13" s="628" t="s">
        <v>169</v>
      </c>
      <c r="B13" s="641" t="str">
        <f t="shared" si="0"/>
        <v>Noncancer</v>
      </c>
      <c r="C13" s="632"/>
      <c r="D13" s="632"/>
      <c r="E13" s="632"/>
      <c r="F13" s="630"/>
      <c r="G13" s="631">
        <f t="shared" si="1"/>
        <v>0</v>
      </c>
    </row>
    <row r="14" spans="1:7" x14ac:dyDescent="0.25">
      <c r="A14" s="628" t="s">
        <v>170</v>
      </c>
      <c r="B14" s="641" t="str">
        <f t="shared" si="0"/>
        <v>Cancer</v>
      </c>
      <c r="C14" s="632"/>
      <c r="D14" s="632"/>
      <c r="E14" s="632"/>
      <c r="F14" s="630"/>
      <c r="G14" s="631">
        <f t="shared" si="1"/>
        <v>0</v>
      </c>
    </row>
    <row r="15" spans="1:7" x14ac:dyDescent="0.25">
      <c r="A15" s="628" t="s">
        <v>171</v>
      </c>
      <c r="B15" s="641" t="str">
        <f t="shared" si="0"/>
        <v>Noncancer</v>
      </c>
      <c r="C15" s="632"/>
      <c r="D15" s="632"/>
      <c r="E15" s="632"/>
      <c r="F15" s="630"/>
      <c r="G15" s="631">
        <f t="shared" si="1"/>
        <v>0</v>
      </c>
    </row>
    <row r="16" spans="1:7" x14ac:dyDescent="0.25">
      <c r="A16" s="628" t="s">
        <v>172</v>
      </c>
      <c r="B16" s="641" t="str">
        <f t="shared" si="0"/>
        <v>Cancer</v>
      </c>
      <c r="C16" s="632"/>
      <c r="D16" s="632"/>
      <c r="E16" s="632"/>
      <c r="F16" s="630"/>
      <c r="G16" s="631">
        <f t="shared" si="1"/>
        <v>0</v>
      </c>
    </row>
    <row r="17" spans="1:7" x14ac:dyDescent="0.25">
      <c r="A17" s="628" t="s">
        <v>173</v>
      </c>
      <c r="B17" s="641" t="str">
        <f t="shared" si="0"/>
        <v>Cancer</v>
      </c>
      <c r="C17" s="632"/>
      <c r="D17" s="632"/>
      <c r="E17" s="632"/>
      <c r="F17" s="630"/>
      <c r="G17" s="631">
        <f t="shared" si="1"/>
        <v>0</v>
      </c>
    </row>
    <row r="18" spans="1:7" x14ac:dyDescent="0.25">
      <c r="A18" s="628" t="s">
        <v>174</v>
      </c>
      <c r="B18" s="641" t="str">
        <f t="shared" si="0"/>
        <v>Noncancer</v>
      </c>
      <c r="C18" s="632"/>
      <c r="D18" s="632"/>
      <c r="E18" s="632"/>
      <c r="F18" s="630"/>
      <c r="G18" s="631">
        <f t="shared" si="1"/>
        <v>0</v>
      </c>
    </row>
    <row r="19" spans="1:7" x14ac:dyDescent="0.25">
      <c r="A19" s="628" t="s">
        <v>175</v>
      </c>
      <c r="B19" s="641" t="str">
        <f t="shared" si="0"/>
        <v>Cancer</v>
      </c>
      <c r="C19" s="632"/>
      <c r="D19" s="632"/>
      <c r="E19" s="632"/>
      <c r="F19" s="630"/>
      <c r="G19" s="631">
        <f t="shared" si="1"/>
        <v>0</v>
      </c>
    </row>
    <row r="20" spans="1:7" x14ac:dyDescent="0.25">
      <c r="A20" s="628" t="s">
        <v>176</v>
      </c>
      <c r="B20" s="641" t="str">
        <f t="shared" si="0"/>
        <v>Cancer</v>
      </c>
      <c r="C20" s="632"/>
      <c r="D20" s="632"/>
      <c r="E20" s="632"/>
      <c r="F20" s="630"/>
      <c r="G20" s="631">
        <f t="shared" si="1"/>
        <v>0</v>
      </c>
    </row>
    <row r="21" spans="1:7" x14ac:dyDescent="0.25">
      <c r="A21" s="628" t="s">
        <v>177</v>
      </c>
      <c r="B21" s="641" t="str">
        <f t="shared" si="0"/>
        <v>Noncancer</v>
      </c>
      <c r="C21" s="632"/>
      <c r="D21" s="632"/>
      <c r="E21" s="632"/>
      <c r="F21" s="630"/>
      <c r="G21" s="631">
        <f t="shared" si="1"/>
        <v>0</v>
      </c>
    </row>
    <row r="22" spans="1:7" x14ac:dyDescent="0.25">
      <c r="A22" s="628" t="s">
        <v>178</v>
      </c>
      <c r="B22" s="641" t="str">
        <f t="shared" si="0"/>
        <v>Cancer</v>
      </c>
      <c r="C22" s="632"/>
      <c r="D22" s="632"/>
      <c r="E22" s="632"/>
      <c r="F22" s="630"/>
      <c r="G22" s="631">
        <f t="shared" si="1"/>
        <v>0</v>
      </c>
    </row>
    <row r="23" spans="1:7" x14ac:dyDescent="0.25">
      <c r="A23" s="628" t="s">
        <v>179</v>
      </c>
      <c r="B23" s="641" t="str">
        <f t="shared" si="0"/>
        <v>Cancer</v>
      </c>
      <c r="C23" s="632"/>
      <c r="D23" s="632"/>
      <c r="E23" s="632"/>
      <c r="F23" s="630"/>
      <c r="G23" s="631">
        <f t="shared" si="1"/>
        <v>0</v>
      </c>
    </row>
    <row r="24" spans="1:7" x14ac:dyDescent="0.25">
      <c r="A24" s="628" t="s">
        <v>180</v>
      </c>
      <c r="B24" s="641" t="str">
        <f t="shared" si="0"/>
        <v>Noncancer</v>
      </c>
      <c r="C24" s="632" t="s">
        <v>874</v>
      </c>
      <c r="D24" s="632" t="s">
        <v>874</v>
      </c>
      <c r="E24" s="632">
        <v>0.6</v>
      </c>
      <c r="F24" s="630"/>
      <c r="G24" s="631">
        <f t="shared" si="1"/>
        <v>0.6</v>
      </c>
    </row>
    <row r="25" spans="1:7" x14ac:dyDescent="0.25">
      <c r="A25" s="628" t="s">
        <v>181</v>
      </c>
      <c r="B25" s="641" t="str">
        <f t="shared" si="0"/>
        <v>Cancer</v>
      </c>
      <c r="C25" s="632"/>
      <c r="D25" s="632"/>
      <c r="E25" s="632"/>
      <c r="F25" s="630"/>
      <c r="G25" s="631">
        <f t="shared" si="1"/>
        <v>0</v>
      </c>
    </row>
    <row r="26" spans="1:7" x14ac:dyDescent="0.25">
      <c r="A26" s="628" t="s">
        <v>182</v>
      </c>
      <c r="B26" s="641" t="str">
        <f t="shared" si="0"/>
        <v>Cancer</v>
      </c>
      <c r="C26" s="632">
        <v>0.54</v>
      </c>
      <c r="D26" s="632">
        <v>0.62</v>
      </c>
      <c r="E26" s="632">
        <v>0.86</v>
      </c>
      <c r="F26" s="630">
        <v>0.84</v>
      </c>
      <c r="G26" s="631">
        <f t="shared" si="1"/>
        <v>0.86</v>
      </c>
    </row>
    <row r="27" spans="1:7" x14ac:dyDescent="0.25">
      <c r="A27" s="628" t="s">
        <v>183</v>
      </c>
      <c r="B27" s="641" t="str">
        <f t="shared" si="0"/>
        <v>Cancer</v>
      </c>
      <c r="C27" s="632"/>
      <c r="D27" s="632"/>
      <c r="E27" s="632"/>
      <c r="F27" s="630"/>
      <c r="G27" s="631">
        <f t="shared" si="1"/>
        <v>0</v>
      </c>
    </row>
    <row r="28" spans="1:7" x14ac:dyDescent="0.25">
      <c r="A28" s="628" t="s">
        <v>184</v>
      </c>
      <c r="B28" s="641" t="str">
        <f t="shared" si="0"/>
        <v>Noncancer</v>
      </c>
      <c r="C28" s="632"/>
      <c r="D28" s="632"/>
      <c r="E28" s="632"/>
      <c r="F28" s="630"/>
      <c r="G28" s="631">
        <f t="shared" si="1"/>
        <v>0</v>
      </c>
    </row>
    <row r="29" spans="1:7" x14ac:dyDescent="0.25">
      <c r="A29" s="628" t="s">
        <v>185</v>
      </c>
      <c r="B29" s="641" t="str">
        <f t="shared" si="0"/>
        <v>Noncancer</v>
      </c>
      <c r="C29" s="632"/>
      <c r="D29" s="632"/>
      <c r="E29" s="632"/>
      <c r="F29" s="630">
        <v>10</v>
      </c>
      <c r="G29" s="631">
        <f t="shared" si="1"/>
        <v>10</v>
      </c>
    </row>
    <row r="30" spans="1:7" x14ac:dyDescent="0.25">
      <c r="A30" s="628" t="s">
        <v>186</v>
      </c>
      <c r="B30" s="641" t="str">
        <f t="shared" si="0"/>
        <v>Cancer</v>
      </c>
      <c r="C30" s="632">
        <v>1.9</v>
      </c>
      <c r="D30" s="632">
        <v>2.6</v>
      </c>
      <c r="E30" s="632">
        <v>3</v>
      </c>
      <c r="F30" s="630">
        <v>3.36</v>
      </c>
      <c r="G30" s="631">
        <f t="shared" si="1"/>
        <v>3</v>
      </c>
    </row>
    <row r="31" spans="1:7" x14ac:dyDescent="0.25">
      <c r="A31" s="628" t="s">
        <v>187</v>
      </c>
      <c r="B31" s="641" t="str">
        <f t="shared" si="0"/>
        <v>Noncancer</v>
      </c>
      <c r="C31" s="632"/>
      <c r="D31" s="632"/>
      <c r="E31" s="632"/>
      <c r="F31" s="630"/>
      <c r="G31" s="631">
        <f t="shared" si="1"/>
        <v>0</v>
      </c>
    </row>
    <row r="32" spans="1:7" x14ac:dyDescent="0.25">
      <c r="A32" s="628" t="s">
        <v>188</v>
      </c>
      <c r="B32" s="641" t="str">
        <f t="shared" si="0"/>
        <v>Cancer</v>
      </c>
      <c r="C32" s="632"/>
      <c r="D32" s="632"/>
      <c r="E32" s="632"/>
      <c r="F32" s="630"/>
      <c r="G32" s="631">
        <f t="shared" si="1"/>
        <v>0</v>
      </c>
    </row>
    <row r="33" spans="1:7" x14ac:dyDescent="0.25">
      <c r="A33" s="628" t="s">
        <v>189</v>
      </c>
      <c r="B33" s="641" t="str">
        <f t="shared" si="0"/>
        <v>Noncancer</v>
      </c>
      <c r="C33" s="632"/>
      <c r="D33" s="632"/>
      <c r="E33" s="632"/>
      <c r="F33" s="630"/>
      <c r="G33" s="631">
        <f t="shared" si="1"/>
        <v>0</v>
      </c>
    </row>
    <row r="34" spans="1:7" x14ac:dyDescent="0.25">
      <c r="A34" s="628" t="s">
        <v>190</v>
      </c>
      <c r="B34" s="641" t="str">
        <f t="shared" si="0"/>
        <v>Cancer</v>
      </c>
      <c r="C34" s="632"/>
      <c r="D34" s="632"/>
      <c r="E34" s="632"/>
      <c r="F34" s="630"/>
      <c r="G34" s="631">
        <f t="shared" si="1"/>
        <v>0</v>
      </c>
    </row>
    <row r="35" spans="1:7" x14ac:dyDescent="0.25">
      <c r="A35" s="628" t="s">
        <v>191</v>
      </c>
      <c r="B35" s="641" t="str">
        <f t="shared" ref="B35:B66" si="2">VLOOKUP(A35,GWTwo,7,FALSE)</f>
        <v>Cancer</v>
      </c>
      <c r="C35" s="632"/>
      <c r="D35" s="632"/>
      <c r="E35" s="632"/>
      <c r="F35" s="630"/>
      <c r="G35" s="631">
        <f t="shared" si="1"/>
        <v>0</v>
      </c>
    </row>
    <row r="36" spans="1:7" x14ac:dyDescent="0.25">
      <c r="A36" s="628" t="s">
        <v>282</v>
      </c>
      <c r="B36" s="641" t="str">
        <f t="shared" si="2"/>
        <v>Noncancer</v>
      </c>
      <c r="C36" s="632"/>
      <c r="D36" s="632"/>
      <c r="E36" s="632"/>
      <c r="F36" s="630"/>
      <c r="G36" s="631">
        <f t="shared" si="1"/>
        <v>0</v>
      </c>
    </row>
    <row r="37" spans="1:7" x14ac:dyDescent="0.25">
      <c r="A37" s="628" t="s">
        <v>192</v>
      </c>
      <c r="B37" s="641" t="str">
        <f t="shared" si="2"/>
        <v>Cancer</v>
      </c>
      <c r="C37" s="632"/>
      <c r="D37" s="632"/>
      <c r="E37" s="632"/>
      <c r="F37" s="630"/>
      <c r="G37" s="631">
        <f t="shared" si="1"/>
        <v>0</v>
      </c>
    </row>
    <row r="38" spans="1:7" x14ac:dyDescent="0.25">
      <c r="A38" s="628" t="s">
        <v>193</v>
      </c>
      <c r="B38" s="641" t="str">
        <f t="shared" si="2"/>
        <v>Cancer</v>
      </c>
      <c r="C38" s="632"/>
      <c r="D38" s="632"/>
      <c r="E38" s="632"/>
      <c r="F38" s="630"/>
      <c r="G38" s="631">
        <f t="shared" si="1"/>
        <v>0</v>
      </c>
    </row>
    <row r="39" spans="1:7" x14ac:dyDescent="0.25">
      <c r="A39" s="628" t="s">
        <v>194</v>
      </c>
      <c r="B39" s="641" t="str">
        <f t="shared" si="2"/>
        <v>Noncancer</v>
      </c>
      <c r="C39" s="632" t="s">
        <v>874</v>
      </c>
      <c r="D39" s="632" t="s">
        <v>874</v>
      </c>
      <c r="E39" s="632">
        <v>0.72</v>
      </c>
      <c r="F39" s="630">
        <v>3.82</v>
      </c>
      <c r="G39" s="631">
        <f t="shared" si="1"/>
        <v>0.72</v>
      </c>
    </row>
    <row r="40" spans="1:7" x14ac:dyDescent="0.25">
      <c r="A40" s="628" t="s">
        <v>195</v>
      </c>
      <c r="B40" s="641" t="str">
        <f t="shared" si="2"/>
        <v>Noncancer</v>
      </c>
      <c r="C40" s="632" t="s">
        <v>874</v>
      </c>
      <c r="D40" s="632" t="s">
        <v>874</v>
      </c>
      <c r="E40" s="632">
        <v>0.6</v>
      </c>
      <c r="F40" s="630">
        <v>5.6</v>
      </c>
      <c r="G40" s="631">
        <f t="shared" si="1"/>
        <v>0.6</v>
      </c>
    </row>
    <row r="41" spans="1:7" x14ac:dyDescent="0.25">
      <c r="A41" s="628" t="s">
        <v>196</v>
      </c>
      <c r="B41" s="641" t="str">
        <f t="shared" si="2"/>
        <v>Cancer</v>
      </c>
      <c r="C41" s="632">
        <v>0.5</v>
      </c>
      <c r="D41" s="632">
        <v>0.9</v>
      </c>
      <c r="E41" s="632">
        <v>1.5</v>
      </c>
      <c r="F41" s="630">
        <v>5.6</v>
      </c>
      <c r="G41" s="631">
        <f t="shared" si="1"/>
        <v>1.5</v>
      </c>
    </row>
    <row r="42" spans="1:7" x14ac:dyDescent="0.25">
      <c r="A42" s="628" t="s">
        <v>197</v>
      </c>
      <c r="B42" s="641" t="str">
        <f t="shared" si="2"/>
        <v>Cancer</v>
      </c>
      <c r="C42" s="632"/>
      <c r="D42" s="632"/>
      <c r="E42" s="632"/>
      <c r="F42" s="630"/>
      <c r="G42" s="631">
        <f t="shared" si="1"/>
        <v>0</v>
      </c>
    </row>
    <row r="43" spans="1:7" ht="23" x14ac:dyDescent="0.25">
      <c r="A43" s="628" t="s">
        <v>198</v>
      </c>
      <c r="B43" s="641" t="str">
        <f t="shared" si="2"/>
        <v>Cancer</v>
      </c>
      <c r="C43" s="632"/>
      <c r="D43" s="632"/>
      <c r="E43" s="632"/>
      <c r="F43" s="630"/>
      <c r="G43" s="631">
        <f t="shared" si="1"/>
        <v>0</v>
      </c>
    </row>
    <row r="44" spans="1:7" ht="23" x14ac:dyDescent="0.25">
      <c r="A44" s="628" t="s">
        <v>199</v>
      </c>
      <c r="B44" s="641" t="str">
        <f t="shared" si="2"/>
        <v>Cancer</v>
      </c>
      <c r="C44" s="632"/>
      <c r="D44" s="632"/>
      <c r="E44" s="632"/>
      <c r="F44" s="630"/>
      <c r="G44" s="631">
        <f t="shared" si="1"/>
        <v>0</v>
      </c>
    </row>
    <row r="45" spans="1:7" ht="23" x14ac:dyDescent="0.25">
      <c r="A45" s="628" t="s">
        <v>200</v>
      </c>
      <c r="B45" s="641" t="str">
        <f t="shared" si="2"/>
        <v>Cancer</v>
      </c>
      <c r="C45" s="632"/>
      <c r="D45" s="632"/>
      <c r="E45" s="632"/>
      <c r="F45" s="630"/>
      <c r="G45" s="631">
        <f t="shared" si="1"/>
        <v>0</v>
      </c>
    </row>
    <row r="46" spans="1:7" x14ac:dyDescent="0.25">
      <c r="A46" s="628" t="s">
        <v>201</v>
      </c>
      <c r="B46" s="641" t="str">
        <f t="shared" si="2"/>
        <v>Noncancer</v>
      </c>
      <c r="C46" s="632"/>
      <c r="D46" s="632"/>
      <c r="E46" s="632"/>
      <c r="F46" s="630"/>
      <c r="G46" s="631">
        <f t="shared" si="1"/>
        <v>0</v>
      </c>
    </row>
    <row r="47" spans="1:7" x14ac:dyDescent="0.25">
      <c r="A47" s="628" t="s">
        <v>202</v>
      </c>
      <c r="B47" s="641" t="str">
        <f t="shared" si="2"/>
        <v>Cancer</v>
      </c>
      <c r="C47" s="632"/>
      <c r="D47" s="632"/>
      <c r="E47" s="632"/>
      <c r="F47" s="630"/>
      <c r="G47" s="631">
        <f t="shared" si="1"/>
        <v>0</v>
      </c>
    </row>
    <row r="48" spans="1:7" x14ac:dyDescent="0.25">
      <c r="A48" s="628" t="s">
        <v>203</v>
      </c>
      <c r="B48" s="641" t="str">
        <f t="shared" si="2"/>
        <v>Noncancer</v>
      </c>
      <c r="C48" s="632"/>
      <c r="D48" s="632"/>
      <c r="E48" s="632"/>
      <c r="F48" s="630"/>
      <c r="G48" s="631">
        <f t="shared" si="1"/>
        <v>0</v>
      </c>
    </row>
    <row r="49" spans="1:7" x14ac:dyDescent="0.25">
      <c r="A49" s="628" t="s">
        <v>204</v>
      </c>
      <c r="B49" s="641" t="str">
        <f t="shared" si="2"/>
        <v>Noncancer</v>
      </c>
      <c r="C49" s="632"/>
      <c r="D49" s="632"/>
      <c r="E49" s="632"/>
      <c r="F49" s="630"/>
      <c r="G49" s="631">
        <f t="shared" si="1"/>
        <v>0</v>
      </c>
    </row>
    <row r="50" spans="1:7" x14ac:dyDescent="0.25">
      <c r="A50" s="628" t="s">
        <v>205</v>
      </c>
      <c r="B50" s="641" t="str">
        <f t="shared" si="2"/>
        <v>Noncancer</v>
      </c>
      <c r="C50" s="632"/>
      <c r="D50" s="632"/>
      <c r="E50" s="632"/>
      <c r="F50" s="630"/>
      <c r="G50" s="631">
        <f t="shared" si="1"/>
        <v>0</v>
      </c>
    </row>
    <row r="51" spans="1:7" x14ac:dyDescent="0.25">
      <c r="A51" s="628" t="s">
        <v>206</v>
      </c>
      <c r="B51" s="641" t="str">
        <f t="shared" si="2"/>
        <v>Cancer</v>
      </c>
      <c r="C51" s="632">
        <v>1.4</v>
      </c>
      <c r="D51" s="632">
        <v>3.7</v>
      </c>
      <c r="E51" s="632">
        <v>11</v>
      </c>
      <c r="F51" s="630">
        <v>600</v>
      </c>
      <c r="G51" s="631">
        <f t="shared" si="1"/>
        <v>11</v>
      </c>
    </row>
    <row r="52" spans="1:7" x14ac:dyDescent="0.25">
      <c r="A52" s="628" t="s">
        <v>207</v>
      </c>
      <c r="B52" s="641" t="str">
        <f t="shared" si="2"/>
        <v>Noncancer</v>
      </c>
      <c r="C52" s="632"/>
      <c r="D52" s="632"/>
      <c r="E52" s="632"/>
      <c r="F52" s="630"/>
      <c r="G52" s="631">
        <f t="shared" si="1"/>
        <v>0</v>
      </c>
    </row>
    <row r="53" spans="1:7" x14ac:dyDescent="0.25">
      <c r="A53" s="628" t="s">
        <v>208</v>
      </c>
      <c r="B53" s="641" t="str">
        <f t="shared" si="2"/>
        <v>Cancer</v>
      </c>
      <c r="C53" s="632"/>
      <c r="D53" s="632"/>
      <c r="E53" s="632"/>
      <c r="F53" s="630"/>
      <c r="G53" s="631">
        <f t="shared" si="1"/>
        <v>0</v>
      </c>
    </row>
    <row r="54" spans="1:7" x14ac:dyDescent="0.25">
      <c r="A54" s="628" t="s">
        <v>209</v>
      </c>
      <c r="B54" s="641" t="str">
        <f t="shared" si="2"/>
        <v>Cancer</v>
      </c>
      <c r="C54" s="632"/>
      <c r="D54" s="632"/>
      <c r="E54" s="632"/>
      <c r="F54" s="630"/>
      <c r="G54" s="631">
        <f t="shared" si="1"/>
        <v>0</v>
      </c>
    </row>
    <row r="55" spans="1:7" x14ac:dyDescent="0.25">
      <c r="A55" s="628" t="s">
        <v>210</v>
      </c>
      <c r="B55" s="641" t="str">
        <f t="shared" si="2"/>
        <v>Cancer</v>
      </c>
      <c r="C55" s="632"/>
      <c r="D55" s="632"/>
      <c r="E55" s="632"/>
      <c r="F55" s="630"/>
      <c r="G55" s="631">
        <f t="shared" si="1"/>
        <v>0</v>
      </c>
    </row>
    <row r="56" spans="1:7" x14ac:dyDescent="0.25">
      <c r="A56" s="628" t="s">
        <v>211</v>
      </c>
      <c r="B56" s="641" t="str">
        <f t="shared" si="2"/>
        <v>Noncancer</v>
      </c>
      <c r="C56" s="632"/>
      <c r="D56" s="632"/>
      <c r="E56" s="632"/>
      <c r="F56" s="630"/>
      <c r="G56" s="631">
        <f t="shared" si="1"/>
        <v>0</v>
      </c>
    </row>
    <row r="57" spans="1:7" x14ac:dyDescent="0.25">
      <c r="A57" s="628" t="s">
        <v>212</v>
      </c>
      <c r="B57" s="641" t="str">
        <f t="shared" si="2"/>
        <v>Noncancer</v>
      </c>
      <c r="C57" s="632"/>
      <c r="D57" s="632"/>
      <c r="E57" s="632"/>
      <c r="F57" s="630"/>
      <c r="G57" s="631">
        <f t="shared" si="1"/>
        <v>0</v>
      </c>
    </row>
    <row r="58" spans="1:7" x14ac:dyDescent="0.25">
      <c r="A58" s="628" t="s">
        <v>213</v>
      </c>
      <c r="B58" s="641" t="str">
        <f t="shared" si="2"/>
        <v>Noncancer</v>
      </c>
      <c r="C58" s="632"/>
      <c r="D58" s="632"/>
      <c r="E58" s="632"/>
      <c r="F58" s="630"/>
      <c r="G58" s="631">
        <f t="shared" si="1"/>
        <v>0</v>
      </c>
    </row>
    <row r="59" spans="1:7" x14ac:dyDescent="0.25">
      <c r="A59" s="628" t="s">
        <v>214</v>
      </c>
      <c r="B59" s="641" t="str">
        <f t="shared" si="2"/>
        <v>Noncancer</v>
      </c>
      <c r="C59" s="632"/>
      <c r="D59" s="632"/>
      <c r="E59" s="632"/>
      <c r="F59" s="630"/>
      <c r="G59" s="631">
        <f t="shared" si="1"/>
        <v>0</v>
      </c>
    </row>
    <row r="60" spans="1:7" x14ac:dyDescent="0.25">
      <c r="A60" s="628" t="s">
        <v>215</v>
      </c>
      <c r="B60" s="641" t="str">
        <f t="shared" si="2"/>
        <v>Cancer</v>
      </c>
      <c r="C60" s="632"/>
      <c r="D60" s="632"/>
      <c r="E60" s="632"/>
      <c r="F60" s="630"/>
      <c r="G60" s="631">
        <f t="shared" si="1"/>
        <v>0</v>
      </c>
    </row>
    <row r="61" spans="1:7" x14ac:dyDescent="0.25">
      <c r="A61" s="628" t="s">
        <v>343</v>
      </c>
      <c r="B61" s="641" t="str">
        <f t="shared" si="2"/>
        <v>Cancer</v>
      </c>
      <c r="C61" s="632"/>
      <c r="D61" s="632"/>
      <c r="E61" s="632"/>
      <c r="F61" s="630">
        <v>0.33</v>
      </c>
      <c r="G61" s="631">
        <f t="shared" si="1"/>
        <v>0.33</v>
      </c>
    </row>
    <row r="62" spans="1:7" x14ac:dyDescent="0.25">
      <c r="A62" s="628" t="s">
        <v>216</v>
      </c>
      <c r="B62" s="641" t="str">
        <f t="shared" si="2"/>
        <v>Noncancer</v>
      </c>
      <c r="C62" s="632"/>
      <c r="D62" s="632"/>
      <c r="E62" s="632"/>
      <c r="F62" s="630"/>
      <c r="G62" s="631">
        <f t="shared" si="1"/>
        <v>0</v>
      </c>
    </row>
    <row r="63" spans="1:7" x14ac:dyDescent="0.25">
      <c r="A63" s="628" t="s">
        <v>217</v>
      </c>
      <c r="B63" s="641" t="str">
        <f t="shared" si="2"/>
        <v>Noncancer</v>
      </c>
      <c r="C63" s="632"/>
      <c r="D63" s="632"/>
      <c r="E63" s="632"/>
      <c r="F63" s="630"/>
      <c r="G63" s="631">
        <f t="shared" si="1"/>
        <v>0</v>
      </c>
    </row>
    <row r="64" spans="1:7" x14ac:dyDescent="0.25">
      <c r="A64" s="628" t="s">
        <v>218</v>
      </c>
      <c r="B64" s="641" t="str">
        <f t="shared" si="2"/>
        <v>Noncancer</v>
      </c>
      <c r="C64" s="632">
        <v>1.5</v>
      </c>
      <c r="D64" s="632">
        <v>2.4</v>
      </c>
      <c r="E64" s="632">
        <v>7.4</v>
      </c>
      <c r="F64" s="630">
        <v>9.6199999999999992</v>
      </c>
      <c r="G64" s="631">
        <f t="shared" si="1"/>
        <v>7.4</v>
      </c>
    </row>
    <row r="65" spans="1:7" x14ac:dyDescent="0.25">
      <c r="A65" s="628" t="s">
        <v>283</v>
      </c>
      <c r="B65" s="641" t="str">
        <f t="shared" si="2"/>
        <v>Cancer</v>
      </c>
      <c r="C65" s="632"/>
      <c r="D65" s="632"/>
      <c r="E65" s="632"/>
      <c r="F65" s="630"/>
      <c r="G65" s="631">
        <f t="shared" si="1"/>
        <v>0</v>
      </c>
    </row>
    <row r="66" spans="1:7" x14ac:dyDescent="0.25">
      <c r="A66" s="628" t="s">
        <v>219</v>
      </c>
      <c r="B66" s="641" t="str">
        <f t="shared" si="2"/>
        <v>Noncancer</v>
      </c>
      <c r="C66" s="632"/>
      <c r="D66" s="632"/>
      <c r="E66" s="632"/>
      <c r="F66" s="630"/>
      <c r="G66" s="631">
        <f t="shared" si="1"/>
        <v>0</v>
      </c>
    </row>
    <row r="67" spans="1:7" x14ac:dyDescent="0.25">
      <c r="A67" s="628" t="s">
        <v>220</v>
      </c>
      <c r="B67" s="641" t="str">
        <f t="shared" ref="B67:B102" si="3">VLOOKUP(A67,GWTwo,7,FALSE)</f>
        <v>Noncancer</v>
      </c>
      <c r="C67" s="632"/>
      <c r="D67" s="632"/>
      <c r="E67" s="632"/>
      <c r="F67" s="630"/>
      <c r="G67" s="631">
        <f t="shared" si="1"/>
        <v>0</v>
      </c>
    </row>
    <row r="68" spans="1:7" x14ac:dyDescent="0.25">
      <c r="A68" s="628" t="s">
        <v>221</v>
      </c>
      <c r="B68" s="641" t="str">
        <f t="shared" si="3"/>
        <v>Cancer</v>
      </c>
      <c r="C68" s="632"/>
      <c r="D68" s="632"/>
      <c r="E68" s="632"/>
      <c r="F68" s="630"/>
      <c r="G68" s="631">
        <f t="shared" ref="G68:G125" si="4">IF(E68&lt;&gt;"",E68,F68)</f>
        <v>0</v>
      </c>
    </row>
    <row r="69" spans="1:7" x14ac:dyDescent="0.25">
      <c r="A69" s="628" t="s">
        <v>222</v>
      </c>
      <c r="B69" s="641" t="str">
        <f t="shared" si="3"/>
        <v>Cancer</v>
      </c>
      <c r="C69" s="632"/>
      <c r="D69" s="632"/>
      <c r="E69" s="632"/>
      <c r="F69" s="630"/>
      <c r="G69" s="631">
        <f t="shared" si="4"/>
        <v>0</v>
      </c>
    </row>
    <row r="70" spans="1:7" x14ac:dyDescent="0.25">
      <c r="A70" s="628" t="s">
        <v>223</v>
      </c>
      <c r="B70" s="641" t="str">
        <f t="shared" si="3"/>
        <v>Cancer</v>
      </c>
      <c r="C70" s="632"/>
      <c r="D70" s="632"/>
      <c r="E70" s="632"/>
      <c r="F70" s="630"/>
      <c r="G70" s="631">
        <f t="shared" si="4"/>
        <v>0</v>
      </c>
    </row>
    <row r="71" spans="1:7" x14ac:dyDescent="0.25">
      <c r="A71" s="628" t="s">
        <v>224</v>
      </c>
      <c r="B71" s="641" t="str">
        <f t="shared" si="3"/>
        <v>Cancer</v>
      </c>
      <c r="C71" s="632" t="s">
        <v>874</v>
      </c>
      <c r="D71" s="632" t="s">
        <v>874</v>
      </c>
      <c r="E71" s="632">
        <v>4.5999999999999996</v>
      </c>
      <c r="F71" s="630"/>
      <c r="G71" s="631">
        <f t="shared" si="4"/>
        <v>4.5999999999999996</v>
      </c>
    </row>
    <row r="72" spans="1:7" ht="23" x14ac:dyDescent="0.25">
      <c r="A72" s="628" t="s">
        <v>225</v>
      </c>
      <c r="B72" s="641" t="str">
        <f t="shared" si="3"/>
        <v>Cancer</v>
      </c>
      <c r="C72" s="632"/>
      <c r="D72" s="632"/>
      <c r="E72" s="632"/>
      <c r="F72" s="630"/>
      <c r="G72" s="631">
        <f t="shared" si="4"/>
        <v>0</v>
      </c>
    </row>
    <row r="73" spans="1:7" x14ac:dyDescent="0.25">
      <c r="A73" s="628" t="s">
        <v>226</v>
      </c>
      <c r="B73" s="641" t="str">
        <f t="shared" si="3"/>
        <v>Cancer</v>
      </c>
      <c r="C73" s="632"/>
      <c r="D73" s="632"/>
      <c r="E73" s="632"/>
      <c r="F73" s="630"/>
      <c r="G73" s="631">
        <f t="shared" si="4"/>
        <v>0</v>
      </c>
    </row>
    <row r="74" spans="1:7" x14ac:dyDescent="0.25">
      <c r="A74" s="628" t="s">
        <v>432</v>
      </c>
      <c r="B74" s="641" t="str">
        <f t="shared" si="3"/>
        <v>Noncancer</v>
      </c>
      <c r="C74" s="632"/>
      <c r="D74" s="632"/>
      <c r="E74" s="632"/>
      <c r="F74" s="630"/>
      <c r="G74" s="631">
        <f t="shared" si="4"/>
        <v>0</v>
      </c>
    </row>
    <row r="75" spans="1:7" x14ac:dyDescent="0.25">
      <c r="A75" s="628" t="s">
        <v>227</v>
      </c>
      <c r="B75" s="641" t="str">
        <f t="shared" si="3"/>
        <v>Cancer</v>
      </c>
      <c r="C75" s="632"/>
      <c r="D75" s="632"/>
      <c r="E75" s="632"/>
      <c r="F75" s="630"/>
      <c r="G75" s="631">
        <f t="shared" si="4"/>
        <v>0</v>
      </c>
    </row>
    <row r="76" spans="1:7" x14ac:dyDescent="0.25">
      <c r="A76" s="628" t="s">
        <v>228</v>
      </c>
      <c r="B76" s="641" t="str">
        <f t="shared" si="3"/>
        <v>Noncancer</v>
      </c>
      <c r="C76" s="632"/>
      <c r="D76" s="632"/>
      <c r="E76" s="632"/>
      <c r="F76" s="630"/>
      <c r="G76" s="631">
        <f t="shared" si="4"/>
        <v>0</v>
      </c>
    </row>
    <row r="77" spans="1:7" x14ac:dyDescent="0.25">
      <c r="A77" s="628" t="s">
        <v>229</v>
      </c>
      <c r="B77" s="641" t="str">
        <f t="shared" si="3"/>
        <v>Noncancer</v>
      </c>
      <c r="C77" s="632"/>
      <c r="D77" s="632"/>
      <c r="E77" s="632"/>
      <c r="F77" s="630"/>
      <c r="G77" s="631">
        <f t="shared" si="4"/>
        <v>0</v>
      </c>
    </row>
    <row r="78" spans="1:7" x14ac:dyDescent="0.25">
      <c r="A78" s="628" t="s">
        <v>230</v>
      </c>
      <c r="B78" s="641" t="str">
        <f t="shared" si="3"/>
        <v>Noncancer</v>
      </c>
      <c r="C78" s="632"/>
      <c r="D78" s="632"/>
      <c r="E78" s="632"/>
      <c r="F78" s="630"/>
      <c r="G78" s="631">
        <f t="shared" si="4"/>
        <v>0</v>
      </c>
    </row>
    <row r="79" spans="1:7" x14ac:dyDescent="0.25">
      <c r="A79" s="628" t="s">
        <v>231</v>
      </c>
      <c r="B79" s="641" t="str">
        <f t="shared" si="3"/>
        <v>Noncancer</v>
      </c>
      <c r="C79" s="632">
        <v>3.4</v>
      </c>
      <c r="D79" s="632">
        <v>5.3</v>
      </c>
      <c r="E79" s="632">
        <v>12</v>
      </c>
      <c r="F79" s="630">
        <v>42.18</v>
      </c>
      <c r="G79" s="631">
        <f t="shared" si="4"/>
        <v>12</v>
      </c>
    </row>
    <row r="80" spans="1:7" x14ac:dyDescent="0.25">
      <c r="A80" s="628" t="s">
        <v>232</v>
      </c>
      <c r="B80" s="641" t="str">
        <f t="shared" si="3"/>
        <v>Noncancer</v>
      </c>
      <c r="C80" s="632">
        <v>0.33</v>
      </c>
      <c r="D80" s="632">
        <v>0.86</v>
      </c>
      <c r="E80" s="632">
        <v>2.2000000000000002</v>
      </c>
      <c r="F80" s="630"/>
      <c r="G80" s="631">
        <f t="shared" si="4"/>
        <v>2.2000000000000002</v>
      </c>
    </row>
    <row r="81" spans="1:7" x14ac:dyDescent="0.25">
      <c r="A81" s="628" t="s">
        <v>233</v>
      </c>
      <c r="B81" s="641" t="str">
        <f t="shared" si="3"/>
        <v>Noncancer</v>
      </c>
      <c r="C81" s="632"/>
      <c r="D81" s="632"/>
      <c r="E81" s="632"/>
      <c r="F81" s="630"/>
      <c r="G81" s="631">
        <f t="shared" si="4"/>
        <v>0</v>
      </c>
    </row>
    <row r="82" spans="1:7" x14ac:dyDescent="0.25">
      <c r="A82" s="628" t="s">
        <v>234</v>
      </c>
      <c r="B82" s="641" t="str">
        <f t="shared" si="3"/>
        <v>Noncancer</v>
      </c>
      <c r="C82" s="632">
        <v>3.5</v>
      </c>
      <c r="D82" s="632">
        <v>6.9</v>
      </c>
      <c r="E82" s="632">
        <v>39</v>
      </c>
      <c r="F82" s="630"/>
      <c r="G82" s="631">
        <f t="shared" si="4"/>
        <v>39</v>
      </c>
    </row>
    <row r="83" spans="1:7" x14ac:dyDescent="0.25">
      <c r="A83" s="628" t="s">
        <v>235</v>
      </c>
      <c r="B83" s="641" t="str">
        <f t="shared" si="3"/>
        <v>Noncancer</v>
      </c>
      <c r="C83" s="632"/>
      <c r="D83" s="632"/>
      <c r="E83" s="632"/>
      <c r="F83" s="630">
        <v>1.74</v>
      </c>
      <c r="G83" s="631">
        <f t="shared" si="4"/>
        <v>1.74</v>
      </c>
    </row>
    <row r="84" spans="1:7" x14ac:dyDescent="0.25">
      <c r="A84" s="628" t="s">
        <v>236</v>
      </c>
      <c r="B84" s="641" t="str">
        <f t="shared" si="3"/>
        <v>Noncancer</v>
      </c>
      <c r="C84" s="632" t="s">
        <v>874</v>
      </c>
      <c r="D84" s="632" t="s">
        <v>874</v>
      </c>
      <c r="E84" s="632">
        <v>2.7</v>
      </c>
      <c r="F84" s="630">
        <v>5</v>
      </c>
      <c r="G84" s="631">
        <f t="shared" si="4"/>
        <v>2.7</v>
      </c>
    </row>
    <row r="85" spans="1:7" x14ac:dyDescent="0.25">
      <c r="A85" s="628" t="s">
        <v>237</v>
      </c>
      <c r="B85" s="641" t="str">
        <f t="shared" si="3"/>
        <v>Cancer</v>
      </c>
      <c r="C85" s="632"/>
      <c r="D85" s="632"/>
      <c r="E85" s="632"/>
      <c r="F85" s="630"/>
      <c r="G85" s="631">
        <f t="shared" si="4"/>
        <v>0</v>
      </c>
    </row>
    <row r="86" spans="1:7" x14ac:dyDescent="0.25">
      <c r="A86" s="628" t="s">
        <v>238</v>
      </c>
      <c r="B86" s="641" t="str">
        <f t="shared" si="3"/>
        <v>Noncancer</v>
      </c>
      <c r="C86" s="632"/>
      <c r="D86" s="632"/>
      <c r="E86" s="632"/>
      <c r="F86" s="630"/>
      <c r="G86" s="631">
        <f t="shared" si="4"/>
        <v>0</v>
      </c>
    </row>
    <row r="87" spans="1:7" ht="23" x14ac:dyDescent="0.25">
      <c r="A87" s="633" t="s">
        <v>940</v>
      </c>
      <c r="B87" s="641"/>
      <c r="C87" s="632"/>
      <c r="D87" s="632"/>
      <c r="E87" s="632"/>
      <c r="F87" s="630"/>
      <c r="G87" s="631"/>
    </row>
    <row r="88" spans="1:7" x14ac:dyDescent="0.25">
      <c r="A88" s="633" t="s">
        <v>949</v>
      </c>
      <c r="B88" s="641"/>
      <c r="C88" s="632"/>
      <c r="D88" s="632"/>
      <c r="E88" s="632"/>
      <c r="F88" s="630"/>
      <c r="G88" s="631"/>
    </row>
    <row r="89" spans="1:7" x14ac:dyDescent="0.25">
      <c r="A89" s="633" t="s">
        <v>891</v>
      </c>
      <c r="B89" s="641"/>
      <c r="C89" s="632"/>
      <c r="D89" s="632"/>
      <c r="E89" s="632"/>
      <c r="F89" s="630"/>
      <c r="G89" s="631"/>
    </row>
    <row r="90" spans="1:7" x14ac:dyDescent="0.25">
      <c r="A90" s="633" t="s">
        <v>892</v>
      </c>
      <c r="B90" s="641"/>
      <c r="C90" s="632"/>
      <c r="D90" s="632"/>
      <c r="E90" s="632"/>
      <c r="F90" s="630"/>
      <c r="G90" s="631"/>
    </row>
    <row r="91" spans="1:7" x14ac:dyDescent="0.25">
      <c r="A91" s="633" t="s">
        <v>890</v>
      </c>
      <c r="B91" s="641"/>
      <c r="C91" s="632"/>
      <c r="D91" s="632"/>
      <c r="E91" s="632"/>
      <c r="F91" s="630"/>
      <c r="G91" s="631"/>
    </row>
    <row r="92" spans="1:7" x14ac:dyDescent="0.25">
      <c r="A92" s="633" t="s">
        <v>927</v>
      </c>
      <c r="B92" s="641"/>
      <c r="C92" s="632"/>
      <c r="D92" s="632"/>
      <c r="E92" s="632"/>
      <c r="F92" s="630"/>
      <c r="G92" s="631"/>
    </row>
    <row r="93" spans="1:7" x14ac:dyDescent="0.25">
      <c r="A93" s="633" t="s">
        <v>893</v>
      </c>
      <c r="B93" s="641"/>
      <c r="C93" s="632"/>
      <c r="D93" s="632"/>
      <c r="E93" s="632"/>
      <c r="F93" s="630"/>
      <c r="G93" s="631"/>
    </row>
    <row r="94" spans="1:7" x14ac:dyDescent="0.25">
      <c r="A94" s="628" t="s">
        <v>615</v>
      </c>
      <c r="B94" s="641" t="str">
        <f>VLOOKUP(A94,GWTwo,7,FALSE)</f>
        <v>Noncancer</v>
      </c>
      <c r="C94" s="632"/>
      <c r="D94" s="632"/>
      <c r="E94" s="632"/>
      <c r="F94" s="630"/>
      <c r="G94" s="631">
        <f>IF(E94&lt;&gt;"",E94,F94)</f>
        <v>0</v>
      </c>
    </row>
    <row r="95" spans="1:7" x14ac:dyDescent="0.25">
      <c r="A95" s="628" t="s">
        <v>103</v>
      </c>
      <c r="B95" s="641">
        <f t="shared" si="3"/>
        <v>0</v>
      </c>
      <c r="C95" s="632"/>
      <c r="D95" s="632"/>
      <c r="E95" s="632"/>
      <c r="F95" s="630"/>
      <c r="G95" s="631">
        <f t="shared" si="4"/>
        <v>0</v>
      </c>
    </row>
    <row r="96" spans="1:7" ht="23" x14ac:dyDescent="0.25">
      <c r="A96" s="628" t="s">
        <v>1051</v>
      </c>
      <c r="B96" s="641" t="str">
        <f t="shared" si="3"/>
        <v>Noncancer</v>
      </c>
      <c r="C96" s="632">
        <v>58</v>
      </c>
      <c r="D96" s="632">
        <v>130</v>
      </c>
      <c r="E96" s="632">
        <v>330</v>
      </c>
      <c r="F96" s="630">
        <v>85</v>
      </c>
      <c r="G96" s="631">
        <f t="shared" si="4"/>
        <v>330</v>
      </c>
    </row>
    <row r="97" spans="1:7" ht="23" x14ac:dyDescent="0.25">
      <c r="A97" s="644" t="s">
        <v>1052</v>
      </c>
      <c r="B97" s="641" t="str">
        <f t="shared" si="3"/>
        <v>Noncancer</v>
      </c>
      <c r="C97" s="632">
        <v>68</v>
      </c>
      <c r="D97" s="632">
        <v>110</v>
      </c>
      <c r="E97" s="632">
        <v>220</v>
      </c>
      <c r="F97" s="630">
        <v>90</v>
      </c>
      <c r="G97" s="631">
        <f t="shared" si="4"/>
        <v>220</v>
      </c>
    </row>
    <row r="98" spans="1:7" ht="23" x14ac:dyDescent="0.25">
      <c r="A98" s="628" t="s">
        <v>1053</v>
      </c>
      <c r="B98" s="641" t="str">
        <f t="shared" si="3"/>
        <v>Noncancer</v>
      </c>
      <c r="C98" s="632"/>
      <c r="D98" s="632"/>
      <c r="E98" s="632"/>
      <c r="F98" s="630">
        <v>100</v>
      </c>
      <c r="G98" s="631">
        <f t="shared" si="4"/>
        <v>100</v>
      </c>
    </row>
    <row r="99" spans="1:7" ht="23" x14ac:dyDescent="0.25">
      <c r="A99" s="628" t="s">
        <v>1054</v>
      </c>
      <c r="B99" s="641">
        <f t="shared" si="3"/>
        <v>0</v>
      </c>
      <c r="C99" s="632"/>
      <c r="D99" s="632"/>
      <c r="E99" s="632"/>
      <c r="F99" s="630"/>
      <c r="G99" s="631">
        <f t="shared" si="4"/>
        <v>0</v>
      </c>
    </row>
    <row r="100" spans="1:7" ht="23" x14ac:dyDescent="0.25">
      <c r="A100" s="628" t="s">
        <v>1055</v>
      </c>
      <c r="B100" s="641" t="str">
        <f t="shared" si="3"/>
        <v>Noncancer</v>
      </c>
      <c r="C100" s="632" t="s">
        <v>874</v>
      </c>
      <c r="D100" s="632" t="s">
        <v>874</v>
      </c>
      <c r="E100" s="632">
        <v>44</v>
      </c>
      <c r="F100" s="630">
        <v>80</v>
      </c>
      <c r="G100" s="631">
        <f t="shared" si="4"/>
        <v>44</v>
      </c>
    </row>
    <row r="101" spans="1:7" ht="23" x14ac:dyDescent="0.25">
      <c r="A101" s="628" t="s">
        <v>1056</v>
      </c>
      <c r="B101" s="641" t="str">
        <f t="shared" si="3"/>
        <v>Noncancer</v>
      </c>
      <c r="C101" s="632"/>
      <c r="D101" s="632"/>
      <c r="E101" s="632"/>
      <c r="F101" s="630">
        <v>50</v>
      </c>
      <c r="G101" s="631">
        <f t="shared" si="4"/>
        <v>50</v>
      </c>
    </row>
    <row r="102" spans="1:7" x14ac:dyDescent="0.25">
      <c r="A102" s="628" t="s">
        <v>239</v>
      </c>
      <c r="B102" s="641" t="str">
        <f t="shared" si="3"/>
        <v>Noncancer</v>
      </c>
      <c r="C102" s="632"/>
      <c r="D102" s="632"/>
      <c r="E102" s="632"/>
      <c r="F102" s="630"/>
      <c r="G102" s="631">
        <f t="shared" si="4"/>
        <v>0</v>
      </c>
    </row>
    <row r="103" spans="1:7" x14ac:dyDescent="0.25">
      <c r="A103" s="628" t="s">
        <v>240</v>
      </c>
      <c r="B103" s="641" t="str">
        <f t="shared" ref="B103:B125" si="5">VLOOKUP(A103,GWTwo,7,FALSE)</f>
        <v>Noncancer</v>
      </c>
      <c r="C103" s="632"/>
      <c r="D103" s="632"/>
      <c r="E103" s="632"/>
      <c r="F103" s="630"/>
      <c r="G103" s="631">
        <f t="shared" si="4"/>
        <v>0</v>
      </c>
    </row>
    <row r="104" spans="1:7" x14ac:dyDescent="0.25">
      <c r="A104" s="628" t="s">
        <v>241</v>
      </c>
      <c r="B104" s="641" t="str">
        <f t="shared" si="5"/>
        <v>Noncancer</v>
      </c>
      <c r="C104" s="632"/>
      <c r="D104" s="632"/>
      <c r="E104" s="632"/>
      <c r="F104" s="630"/>
      <c r="G104" s="631">
        <f t="shared" si="4"/>
        <v>0</v>
      </c>
    </row>
    <row r="105" spans="1:7" x14ac:dyDescent="0.25">
      <c r="A105" s="628" t="s">
        <v>242</v>
      </c>
      <c r="B105" s="641" t="str">
        <f t="shared" si="5"/>
        <v>Noncancer</v>
      </c>
      <c r="C105" s="632"/>
      <c r="D105" s="632"/>
      <c r="E105" s="632"/>
      <c r="F105" s="630"/>
      <c r="G105" s="631">
        <f t="shared" si="4"/>
        <v>0</v>
      </c>
    </row>
    <row r="106" spans="1:7" x14ac:dyDescent="0.25">
      <c r="A106" s="628" t="s">
        <v>433</v>
      </c>
      <c r="B106" s="641" t="str">
        <f t="shared" si="5"/>
        <v>Cancer</v>
      </c>
      <c r="C106" s="632"/>
      <c r="D106" s="632"/>
      <c r="E106" s="632"/>
      <c r="F106" s="630"/>
      <c r="G106" s="631">
        <f t="shared" si="4"/>
        <v>0</v>
      </c>
    </row>
    <row r="107" spans="1:7" x14ac:dyDescent="0.25">
      <c r="A107" s="628" t="s">
        <v>243</v>
      </c>
      <c r="B107" s="641" t="str">
        <f t="shared" si="5"/>
        <v>Noncancer</v>
      </c>
      <c r="C107" s="632"/>
      <c r="D107" s="632"/>
      <c r="E107" s="632"/>
      <c r="F107" s="630"/>
      <c r="G107" s="631">
        <f t="shared" si="4"/>
        <v>0</v>
      </c>
    </row>
    <row r="108" spans="1:7" x14ac:dyDescent="0.25">
      <c r="A108" s="628" t="s">
        <v>244</v>
      </c>
      <c r="B108" s="641" t="str">
        <f t="shared" si="5"/>
        <v>Noncancer</v>
      </c>
      <c r="C108" s="632"/>
      <c r="D108" s="632"/>
      <c r="E108" s="632"/>
      <c r="F108" s="630"/>
      <c r="G108" s="631">
        <f t="shared" si="4"/>
        <v>0</v>
      </c>
    </row>
    <row r="109" spans="1:7" x14ac:dyDescent="0.25">
      <c r="A109" s="628" t="s">
        <v>245</v>
      </c>
      <c r="B109" s="641" t="str">
        <f t="shared" si="5"/>
        <v>Cancer</v>
      </c>
      <c r="C109" s="632">
        <v>0.63</v>
      </c>
      <c r="D109" s="632">
        <v>1.1000000000000001</v>
      </c>
      <c r="E109" s="632">
        <v>1.4</v>
      </c>
      <c r="F109" s="630">
        <v>2.79</v>
      </c>
      <c r="G109" s="631">
        <f t="shared" si="4"/>
        <v>1.4</v>
      </c>
    </row>
    <row r="110" spans="1:7" x14ac:dyDescent="0.25">
      <c r="A110" s="628" t="s">
        <v>320</v>
      </c>
      <c r="B110" s="641" t="str">
        <f t="shared" si="5"/>
        <v>Noncancer</v>
      </c>
      <c r="C110" s="632"/>
      <c r="D110" s="632"/>
      <c r="E110" s="632"/>
      <c r="F110" s="630"/>
      <c r="G110" s="631">
        <f t="shared" si="4"/>
        <v>0</v>
      </c>
    </row>
    <row r="111" spans="1:7" x14ac:dyDescent="0.25">
      <c r="A111" s="628" t="s">
        <v>246</v>
      </c>
      <c r="B111" s="641" t="str">
        <f t="shared" si="5"/>
        <v>Cancer</v>
      </c>
      <c r="C111" s="632"/>
      <c r="D111" s="632"/>
      <c r="E111" s="632"/>
      <c r="F111" s="630"/>
      <c r="G111" s="631">
        <f t="shared" si="4"/>
        <v>0</v>
      </c>
    </row>
    <row r="112" spans="1:7" x14ac:dyDescent="0.25">
      <c r="A112" s="628" t="s">
        <v>247</v>
      </c>
      <c r="B112" s="641" t="str">
        <f t="shared" si="5"/>
        <v>Cancer</v>
      </c>
      <c r="C112" s="632"/>
      <c r="D112" s="632"/>
      <c r="E112" s="632"/>
      <c r="F112" s="630"/>
      <c r="G112" s="631">
        <f t="shared" si="4"/>
        <v>0</v>
      </c>
    </row>
    <row r="113" spans="1:7" x14ac:dyDescent="0.25">
      <c r="A113" s="628" t="s">
        <v>248</v>
      </c>
      <c r="B113" s="641" t="str">
        <f t="shared" si="5"/>
        <v>Cancer</v>
      </c>
      <c r="C113" s="632">
        <v>1.4</v>
      </c>
      <c r="D113" s="632">
        <v>2.4</v>
      </c>
      <c r="E113" s="632">
        <v>4.0999999999999996</v>
      </c>
      <c r="F113" s="630">
        <v>11.01</v>
      </c>
      <c r="G113" s="631">
        <f t="shared" si="4"/>
        <v>4.0999999999999996</v>
      </c>
    </row>
    <row r="114" spans="1:7" x14ac:dyDescent="0.25">
      <c r="A114" s="628" t="s">
        <v>249</v>
      </c>
      <c r="B114" s="641" t="str">
        <f t="shared" si="5"/>
        <v>Noncancer</v>
      </c>
      <c r="C114" s="632"/>
      <c r="D114" s="632"/>
      <c r="E114" s="632"/>
      <c r="F114" s="630"/>
      <c r="G114" s="631">
        <f t="shared" si="4"/>
        <v>0</v>
      </c>
    </row>
    <row r="115" spans="1:7" x14ac:dyDescent="0.25">
      <c r="A115" s="628" t="s">
        <v>250</v>
      </c>
      <c r="B115" s="641" t="str">
        <f t="shared" si="5"/>
        <v>Noncancer</v>
      </c>
      <c r="C115" s="632">
        <v>11</v>
      </c>
      <c r="D115" s="632">
        <v>21</v>
      </c>
      <c r="E115" s="632">
        <v>54</v>
      </c>
      <c r="F115" s="630">
        <v>28.65</v>
      </c>
      <c r="G115" s="631">
        <f t="shared" si="4"/>
        <v>54</v>
      </c>
    </row>
    <row r="116" spans="1:7" x14ac:dyDescent="0.25">
      <c r="A116" s="628" t="s">
        <v>251</v>
      </c>
      <c r="B116" s="641" t="str">
        <f t="shared" si="5"/>
        <v>Noncancer</v>
      </c>
      <c r="C116" s="632" t="s">
        <v>874</v>
      </c>
      <c r="D116" s="632" t="s">
        <v>874</v>
      </c>
      <c r="E116" s="632">
        <v>3.4</v>
      </c>
      <c r="F116" s="630">
        <v>0.59</v>
      </c>
      <c r="G116" s="631">
        <f t="shared" si="4"/>
        <v>3.4</v>
      </c>
    </row>
    <row r="117" spans="1:7" x14ac:dyDescent="0.25">
      <c r="A117" s="628" t="s">
        <v>252</v>
      </c>
      <c r="B117" s="641" t="str">
        <f t="shared" si="5"/>
        <v>Noncancer</v>
      </c>
      <c r="C117" s="632">
        <v>0.5</v>
      </c>
      <c r="D117" s="632">
        <v>1.1000000000000001</v>
      </c>
      <c r="E117" s="632">
        <v>3</v>
      </c>
      <c r="F117" s="630">
        <v>19.96</v>
      </c>
      <c r="G117" s="631">
        <f t="shared" si="4"/>
        <v>3</v>
      </c>
    </row>
    <row r="118" spans="1:7" x14ac:dyDescent="0.25">
      <c r="A118" s="628" t="s">
        <v>253</v>
      </c>
      <c r="B118" s="641" t="str">
        <f t="shared" si="5"/>
        <v>Cancer</v>
      </c>
      <c r="C118" s="632"/>
      <c r="D118" s="632"/>
      <c r="E118" s="632"/>
      <c r="F118" s="630">
        <v>9.98</v>
      </c>
      <c r="G118" s="631">
        <f t="shared" si="4"/>
        <v>9.98</v>
      </c>
    </row>
    <row r="119" spans="1:7" x14ac:dyDescent="0.25">
      <c r="A119" s="628" t="s">
        <v>254</v>
      </c>
      <c r="B119" s="641" t="str">
        <f t="shared" si="5"/>
        <v>Noncancer</v>
      </c>
      <c r="C119" s="632">
        <v>0.28999999999999998</v>
      </c>
      <c r="D119" s="632">
        <v>0.68</v>
      </c>
      <c r="E119" s="632">
        <v>0.8</v>
      </c>
      <c r="F119" s="630">
        <v>4.49</v>
      </c>
      <c r="G119" s="631">
        <f t="shared" si="4"/>
        <v>0.8</v>
      </c>
    </row>
    <row r="120" spans="1:7" x14ac:dyDescent="0.25">
      <c r="A120" s="628" t="s">
        <v>255</v>
      </c>
      <c r="B120" s="641" t="str">
        <f t="shared" si="5"/>
        <v>Noncancer</v>
      </c>
      <c r="C120" s="632"/>
      <c r="D120" s="632"/>
      <c r="E120" s="632"/>
      <c r="F120" s="630"/>
      <c r="G120" s="631">
        <f t="shared" si="4"/>
        <v>0</v>
      </c>
    </row>
    <row r="121" spans="1:7" x14ac:dyDescent="0.25">
      <c r="A121" s="628" t="s">
        <v>256</v>
      </c>
      <c r="B121" s="641" t="str">
        <f t="shared" si="5"/>
        <v>Cancer</v>
      </c>
      <c r="C121" s="632"/>
      <c r="D121" s="632"/>
      <c r="E121" s="632"/>
      <c r="F121" s="630"/>
      <c r="G121" s="631">
        <f t="shared" si="4"/>
        <v>0</v>
      </c>
    </row>
    <row r="122" spans="1:7" x14ac:dyDescent="0.25">
      <c r="A122" s="628" t="s">
        <v>257</v>
      </c>
      <c r="B122" s="641" t="str">
        <f t="shared" si="5"/>
        <v>Noncancer</v>
      </c>
      <c r="C122" s="632"/>
      <c r="D122" s="632"/>
      <c r="E122" s="632"/>
      <c r="F122" s="630"/>
      <c r="G122" s="631">
        <f t="shared" si="4"/>
        <v>0</v>
      </c>
    </row>
    <row r="123" spans="1:7" x14ac:dyDescent="0.25">
      <c r="A123" s="628" t="s">
        <v>258</v>
      </c>
      <c r="B123" s="641" t="str">
        <f t="shared" si="5"/>
        <v>Cancer</v>
      </c>
      <c r="C123" s="632"/>
      <c r="D123" s="632"/>
      <c r="E123" s="632"/>
      <c r="F123" s="630"/>
      <c r="G123" s="631">
        <f t="shared" si="4"/>
        <v>0</v>
      </c>
    </row>
    <row r="124" spans="1:7" x14ac:dyDescent="0.25">
      <c r="A124" s="628" t="s">
        <v>286</v>
      </c>
      <c r="B124" s="641" t="str">
        <f t="shared" si="5"/>
        <v>Noncancer</v>
      </c>
      <c r="C124" s="632">
        <v>5.9</v>
      </c>
      <c r="D124" s="632">
        <v>9.4</v>
      </c>
      <c r="E124" s="632">
        <v>28</v>
      </c>
      <c r="F124" s="630">
        <v>72.41</v>
      </c>
      <c r="G124" s="631">
        <f t="shared" si="4"/>
        <v>28</v>
      </c>
    </row>
    <row r="125" spans="1:7" ht="13" thickBot="1" x14ac:dyDescent="0.3">
      <c r="A125" s="634" t="s">
        <v>259</v>
      </c>
      <c r="B125" s="642" t="str">
        <f t="shared" si="5"/>
        <v>Noncancer</v>
      </c>
      <c r="C125" s="643"/>
      <c r="D125" s="643"/>
      <c r="E125" s="643"/>
      <c r="F125" s="635"/>
      <c r="G125" s="636">
        <f t="shared" si="4"/>
        <v>0</v>
      </c>
    </row>
    <row r="126" spans="1:7" x14ac:dyDescent="0.25">
      <c r="A126" s="789"/>
    </row>
    <row r="128" spans="1:7" ht="34.5" x14ac:dyDescent="0.25">
      <c r="A128" s="789" t="s">
        <v>889</v>
      </c>
    </row>
    <row r="129" spans="1:2" x14ac:dyDescent="0.25">
      <c r="A129" s="790" t="s">
        <v>888</v>
      </c>
      <c r="B129" s="67"/>
    </row>
    <row r="130" spans="1:2" x14ac:dyDescent="0.25">
      <c r="B130" s="67"/>
    </row>
  </sheetData>
  <sheetProtection sheet="1" objects="1" scenarios="1"/>
  <hyperlinks>
    <hyperlink ref="A129" r:id="rId1" xr:uid="{00000000-0004-0000-0900-000000000000}"/>
  </hyperlinks>
  <printOptions horizontalCentered="1"/>
  <pageMargins left="0.5" right="0.5" top="0.75" bottom="1" header="0.5" footer="0.5"/>
  <pageSetup scale="90" pageOrder="overThenDown" orientation="portrait" r:id="rId2"/>
  <headerFooter>
    <oddHeader>&amp;C&amp;"Arial,Bold"&amp;8MCP Numerical Standards Derivation</oddHeader>
    <oddFooter>&amp;L&amp;"Arial,Regular"&amp;8MassDEP&amp;C&amp;"Arial,Regular"&amp;8 2024&amp;R&amp;"Arial,Regular"&amp;8Workbbook: &amp;F
Sheet:  Introduction
Page &amp;P of &amp;N</oddFooter>
  </headerFooter>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12</vt:i4>
      </vt:variant>
      <vt:variant>
        <vt:lpstr>Named Ranges</vt:lpstr>
      </vt:variant>
      <vt:variant>
        <vt:i4>26</vt:i4>
      </vt:variant>
    </vt:vector>
  </HeadingPairs>
  <TitlesOfParts>
    <vt:vector size="38" baseType="lpstr">
      <vt:lpstr>INTRODUCTION</vt:lpstr>
      <vt:lpstr>GW-1</vt:lpstr>
      <vt:lpstr>GW-1 Exp</vt:lpstr>
      <vt:lpstr>GW-1 Derm</vt:lpstr>
      <vt:lpstr>GW-1 Inhale</vt:lpstr>
      <vt:lpstr>GW-1 VC &amp; TCE</vt:lpstr>
      <vt:lpstr>GW-2</vt:lpstr>
      <vt:lpstr>GW-2 Exp</vt:lpstr>
      <vt:lpstr>GW-2 IA Bkgrd</vt:lpstr>
      <vt:lpstr>GW-2 TCE &amp; VC</vt:lpstr>
      <vt:lpstr>GW-3</vt:lpstr>
      <vt:lpstr>GW-3 SW Target</vt:lpstr>
      <vt:lpstr>DWDERM</vt:lpstr>
      <vt:lpstr>DWInhale</vt:lpstr>
      <vt:lpstr>GWOne</vt:lpstr>
      <vt:lpstr>GWThree</vt:lpstr>
      <vt:lpstr>GWTwo</vt:lpstr>
      <vt:lpstr>IABKGRD</vt:lpstr>
      <vt:lpstr>'GW-1'!Print_Area</vt:lpstr>
      <vt:lpstr>'GW-1 Derm'!Print_Area</vt:lpstr>
      <vt:lpstr>'GW-1 Exp'!Print_Area</vt:lpstr>
      <vt:lpstr>'GW-1 Inhale'!Print_Area</vt:lpstr>
      <vt:lpstr>'GW-1 VC &amp; TCE'!Print_Area</vt:lpstr>
      <vt:lpstr>'GW-2'!Print_Area</vt:lpstr>
      <vt:lpstr>'GW-2 Exp'!Print_Area</vt:lpstr>
      <vt:lpstr>'GW-2 IA Bkgrd'!Print_Area</vt:lpstr>
      <vt:lpstr>'GW-2 TCE &amp; VC'!Print_Area</vt:lpstr>
      <vt:lpstr>'GW-3'!Print_Area</vt:lpstr>
      <vt:lpstr>'GW-3 SW Target'!Print_Area</vt:lpstr>
      <vt:lpstr>INTRODUCTION!Print_Area</vt:lpstr>
      <vt:lpstr>'GW-1'!Print_Titles</vt:lpstr>
      <vt:lpstr>'GW-1 Derm'!Print_Titles</vt:lpstr>
      <vt:lpstr>'GW-1 Inhale'!Print_Titles</vt:lpstr>
      <vt:lpstr>'GW-2'!Print_Titles</vt:lpstr>
      <vt:lpstr>'GW-2 IA Bkgrd'!Print_Titles</vt:lpstr>
      <vt:lpstr>'GW-3'!Print_Titles</vt:lpstr>
      <vt:lpstr>'GW-3 SW Target'!Print_Titles</vt:lpstr>
      <vt:lpstr>SWTarget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2022-12-08T14:12:46Z</dcterms:created>
  <dcterms:modified xsi:type="dcterms:W3CDTF">2024-02-29T19:15:54Z</dcterms:modified>
</cp:coreProperties>
</file>